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P:\Office du Tourisme\COMMERCIALISATION\"/>
    </mc:Choice>
  </mc:AlternateContent>
  <xr:revisionPtr revIDLastSave="0" documentId="13_ncr:1_{776ABD74-FAC9-49AE-8BA6-72A6F80B1CAF}" xr6:coauthVersionLast="36" xr6:coauthVersionMax="47" xr10:uidLastSave="{00000000-0000-0000-0000-000000000000}"/>
  <bookViews>
    <workbookView xWindow="0" yWindow="0" windowWidth="28800" windowHeight="11328" firstSheet="1" activeTab="2" xr2:uid="{5B39613C-6081-4FFE-A1AD-E457D1DE18A9}"/>
  </bookViews>
  <sheets>
    <sheet name="SUIVI DES FACTURES 2022" sheetId="6" r:id="rId1"/>
    <sheet name="SUIVI GROUPES 2022" sheetId="5" r:id="rId2"/>
    <sheet name="SUIVI GROUPES 2023" sheetId="1" r:id="rId3"/>
    <sheet name=" SUIVI DES FACTURES 2023" sheetId="2" r:id="rId4"/>
    <sheet name="EN ATTENTE" sheetId="3" r:id="rId5"/>
    <sheet name="2024" sheetId="7" r:id="rId6"/>
    <sheet name="PERDU" sheetId="4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7" i="1" l="1"/>
  <c r="R77" i="1" l="1"/>
  <c r="Q79" i="1" l="1"/>
  <c r="L82" i="1"/>
  <c r="R79" i="1" l="1"/>
  <c r="T80" i="1" l="1"/>
  <c r="S80" i="1"/>
  <c r="X80" i="1"/>
  <c r="R80" i="1"/>
  <c r="Q80" i="1"/>
  <c r="T21" i="1" l="1"/>
  <c r="S21" i="1"/>
  <c r="T9" i="1"/>
  <c r="R9" i="1"/>
  <c r="U11" i="1"/>
  <c r="Q10" i="1"/>
  <c r="S34" i="1" l="1"/>
  <c r="T34" i="1"/>
  <c r="V82" i="1" l="1"/>
  <c r="Q81" i="1"/>
  <c r="R81" i="1"/>
  <c r="X82" i="1"/>
  <c r="R78" i="1"/>
  <c r="V78" i="1"/>
  <c r="T78" i="1" s="1"/>
  <c r="W78" i="1"/>
  <c r="R74" i="1" l="1"/>
  <c r="Q74" i="1"/>
  <c r="S74" i="1" l="1"/>
  <c r="T74" i="1"/>
  <c r="R10" i="1"/>
  <c r="T10" i="1"/>
  <c r="U10" i="1"/>
  <c r="U14" i="1"/>
  <c r="V14" i="1"/>
  <c r="S38" i="1"/>
  <c r="R34" i="1"/>
  <c r="U34" i="1"/>
  <c r="V34" i="1"/>
  <c r="S69" i="1"/>
  <c r="V69" i="1"/>
  <c r="U65" i="1"/>
  <c r="V65" i="1"/>
  <c r="S10" i="1" l="1"/>
  <c r="U82" i="1"/>
  <c r="W14" i="1"/>
  <c r="R29" i="1"/>
  <c r="R25" i="1"/>
  <c r="R26" i="1"/>
  <c r="R66" i="1" l="1"/>
  <c r="T66" i="1" s="1"/>
  <c r="R73" i="1" l="1"/>
  <c r="Q73" i="1"/>
  <c r="W66" i="1"/>
  <c r="Q77" i="1"/>
  <c r="S77" i="1" s="1"/>
  <c r="Q72" i="1"/>
  <c r="S72" i="1" s="1"/>
  <c r="Q68" i="1" l="1"/>
  <c r="S68" i="1" s="1"/>
  <c r="Q67" i="1"/>
  <c r="S67" i="1" s="1"/>
  <c r="T77" i="1" l="1"/>
  <c r="R72" i="1"/>
  <c r="T72" i="1" s="1"/>
  <c r="Q66" i="1" l="1"/>
  <c r="S66" i="1" s="1"/>
  <c r="X46" i="1"/>
  <c r="W64" i="1"/>
  <c r="V64" i="1" s="1"/>
  <c r="U64" i="1" s="1"/>
  <c r="X64" i="1"/>
  <c r="Q64" i="1" l="1"/>
  <c r="S64" i="1" s="1"/>
  <c r="Q65" i="1"/>
  <c r="S65" i="1" s="1"/>
  <c r="R65" i="1"/>
  <c r="T65" i="1" s="1"/>
  <c r="Q63" i="1"/>
  <c r="R64" i="1" l="1"/>
  <c r="T64" i="1" s="1"/>
  <c r="Q61" i="1" l="1"/>
  <c r="R22" i="3" l="1"/>
  <c r="Q58" i="1" l="1"/>
  <c r="Q59" i="1"/>
  <c r="R68" i="1" l="1"/>
  <c r="T68" i="1" s="1"/>
  <c r="R59" i="1" l="1"/>
  <c r="R67" i="1" l="1"/>
  <c r="T67" i="1" s="1"/>
  <c r="N5" i="3"/>
  <c r="Q55" i="1" l="1"/>
  <c r="Q54" i="1"/>
  <c r="R69" i="1" l="1"/>
  <c r="T69" i="1" s="1"/>
  <c r="Q57" i="1" l="1"/>
  <c r="R61" i="1" l="1"/>
  <c r="R63" i="1" l="1"/>
  <c r="R55" i="1"/>
  <c r="Q47" i="1"/>
  <c r="S47" i="1" s="1"/>
  <c r="R47" i="1"/>
  <c r="T47" i="1" s="1"/>
  <c r="Q46" i="1"/>
  <c r="S46" i="1" s="1"/>
  <c r="Q45" i="1"/>
  <c r="W42" i="1"/>
  <c r="Q42" i="1"/>
  <c r="Q40" i="1"/>
  <c r="R46" i="1"/>
  <c r="T46" i="1" s="1"/>
  <c r="R54" i="1"/>
  <c r="R41" i="1"/>
  <c r="R42" i="1"/>
  <c r="T42" i="1" l="1"/>
  <c r="S42" i="1"/>
  <c r="X36" i="1"/>
  <c r="X32" i="1"/>
  <c r="R36" i="1"/>
  <c r="Q33" i="1"/>
  <c r="S33" i="1" s="1"/>
  <c r="R31" i="1"/>
  <c r="T31" i="1" s="1"/>
  <c r="R58" i="1"/>
  <c r="Q14" i="1"/>
  <c r="S14" i="1" s="1"/>
  <c r="N6" i="3"/>
  <c r="Q30" i="1"/>
  <c r="S30" i="1" s="1"/>
  <c r="R30" i="1"/>
  <c r="T30" i="1" s="1"/>
  <c r="W27" i="1"/>
  <c r="U27" i="1" s="1"/>
  <c r="T36" i="1" l="1"/>
  <c r="V36" i="1"/>
  <c r="U36" i="1" s="1"/>
  <c r="S36" i="1" s="1"/>
  <c r="V27" i="1"/>
  <c r="E25" i="2"/>
  <c r="R27" i="1"/>
  <c r="Q24" i="1"/>
  <c r="S24" i="1" s="1"/>
  <c r="R24" i="1"/>
  <c r="Q32" i="1"/>
  <c r="S32" i="1" s="1"/>
  <c r="Q31" i="1"/>
  <c r="S31" i="1" s="1"/>
  <c r="T29" i="1"/>
  <c r="Q29" i="1"/>
  <c r="S29" i="1" s="1"/>
  <c r="T26" i="1"/>
  <c r="Q26" i="1"/>
  <c r="Q25" i="1"/>
  <c r="S25" i="1" s="1"/>
  <c r="T25" i="1"/>
  <c r="Q37" i="1"/>
  <c r="S37" i="1" s="1"/>
  <c r="Q27" i="1"/>
  <c r="S27" i="1" s="1"/>
  <c r="Q28" i="1"/>
  <c r="S28" i="1" s="1"/>
  <c r="W21" i="1"/>
  <c r="Q21" i="1"/>
  <c r="S20" i="1"/>
  <c r="X20" i="1"/>
  <c r="V20" i="1" s="1"/>
  <c r="R20" i="1"/>
  <c r="R40" i="1"/>
  <c r="R14" i="1"/>
  <c r="T14" i="1" s="1"/>
  <c r="R32" i="1"/>
  <c r="T32" i="1" s="1"/>
  <c r="R38" i="1"/>
  <c r="T38" i="1" s="1"/>
  <c r="L65" i="5"/>
  <c r="Q40" i="5"/>
  <c r="R40" i="5"/>
  <c r="Q39" i="5"/>
  <c r="R39" i="5"/>
  <c r="Q38" i="5"/>
  <c r="R38" i="5"/>
  <c r="R37" i="5"/>
  <c r="Q37" i="5"/>
  <c r="R36" i="5"/>
  <c r="Q36" i="5"/>
  <c r="R34" i="5"/>
  <c r="Q34" i="5"/>
  <c r="R21" i="1"/>
  <c r="S26" i="1" l="1"/>
  <c r="Q82" i="1"/>
  <c r="T20" i="1"/>
  <c r="T27" i="1"/>
  <c r="R37" i="1"/>
  <c r="R45" i="1"/>
  <c r="R13" i="1"/>
  <c r="R17" i="1"/>
  <c r="Q58" i="5"/>
  <c r="S58" i="5" s="1"/>
  <c r="R58" i="5"/>
  <c r="T58" i="5" s="1"/>
  <c r="R57" i="5"/>
  <c r="Q60" i="5"/>
  <c r="W11" i="1"/>
  <c r="R12" i="5"/>
  <c r="T12" i="5" s="1"/>
  <c r="Q12" i="5"/>
  <c r="S9" i="5"/>
  <c r="Q64" i="5"/>
  <c r="R60" i="5"/>
  <c r="S13" i="5"/>
  <c r="T13" i="5"/>
  <c r="T10" i="5"/>
  <c r="E31" i="6"/>
  <c r="G31" i="6"/>
  <c r="T37" i="1" l="1"/>
  <c r="V11" i="1"/>
  <c r="S11" i="1"/>
  <c r="R11" i="1"/>
  <c r="T11" i="1" s="1"/>
  <c r="T24" i="1"/>
  <c r="R28" i="1"/>
  <c r="T28" i="1" s="1"/>
  <c r="U12" i="5"/>
  <c r="S12" i="5" s="1"/>
  <c r="W20" i="5"/>
  <c r="S54" i="5"/>
  <c r="T54" i="5"/>
  <c r="W56" i="5"/>
  <c r="S56" i="5"/>
  <c r="U53" i="5"/>
  <c r="S53" i="5" s="1"/>
  <c r="V53" i="5"/>
  <c r="T53" i="5" s="1"/>
  <c r="S22" i="5"/>
  <c r="U21" i="5"/>
  <c r="U31" i="5"/>
  <c r="R12" i="1"/>
  <c r="Q52" i="5"/>
  <c r="R56" i="5"/>
  <c r="T56" i="5" s="1"/>
  <c r="W24" i="5"/>
  <c r="W60" i="5"/>
  <c r="U60" i="5" s="1"/>
  <c r="W52" i="5"/>
  <c r="V52" i="5" s="1"/>
  <c r="W51" i="5"/>
  <c r="W33" i="5"/>
  <c r="V33" i="5" s="1"/>
  <c r="W14" i="5"/>
  <c r="V14" i="5" s="1"/>
  <c r="T14" i="5" s="1"/>
  <c r="X44" i="5"/>
  <c r="X46" i="5"/>
  <c r="X52" i="5"/>
  <c r="X62" i="5"/>
  <c r="W9" i="1"/>
  <c r="V9" i="1" s="1"/>
  <c r="Q8" i="1"/>
  <c r="X63" i="5"/>
  <c r="R63" i="5"/>
  <c r="T63" i="5" s="1"/>
  <c r="Q63" i="5"/>
  <c r="S63" i="5" s="1"/>
  <c r="R62" i="5"/>
  <c r="T62" i="5" s="1"/>
  <c r="Q62" i="5"/>
  <c r="S62" i="5" s="1"/>
  <c r="R61" i="5"/>
  <c r="Q61" i="5"/>
  <c r="R59" i="5"/>
  <c r="Q59" i="5"/>
  <c r="Q57" i="5"/>
  <c r="R52" i="5"/>
  <c r="R51" i="5"/>
  <c r="T51" i="5" s="1"/>
  <c r="Q51" i="5"/>
  <c r="S51" i="5" s="1"/>
  <c r="R50" i="5"/>
  <c r="Q50" i="5"/>
  <c r="R49" i="5"/>
  <c r="Q49" i="5"/>
  <c r="R48" i="5"/>
  <c r="Q48" i="5"/>
  <c r="R47" i="5"/>
  <c r="Q47" i="5"/>
  <c r="R46" i="5"/>
  <c r="T46" i="5" s="1"/>
  <c r="Q46" i="5"/>
  <c r="R25" i="5"/>
  <c r="Q25" i="5"/>
  <c r="R33" i="1"/>
  <c r="R45" i="5"/>
  <c r="Q45" i="5"/>
  <c r="R44" i="5"/>
  <c r="T44" i="5" s="1"/>
  <c r="Q44" i="5"/>
  <c r="S44" i="5" s="1"/>
  <c r="Q43" i="5"/>
  <c r="R43" i="5"/>
  <c r="R42" i="5"/>
  <c r="Q42" i="5"/>
  <c r="R41" i="5"/>
  <c r="Q41" i="5"/>
  <c r="R35" i="5"/>
  <c r="Q35" i="5"/>
  <c r="R33" i="5"/>
  <c r="Q33" i="5"/>
  <c r="R31" i="5"/>
  <c r="T31" i="5" s="1"/>
  <c r="Q31" i="5"/>
  <c r="R32" i="5"/>
  <c r="Q32" i="5"/>
  <c r="R30" i="5"/>
  <c r="Q30" i="5"/>
  <c r="R29" i="5"/>
  <c r="Q29" i="5"/>
  <c r="Q28" i="5"/>
  <c r="R28" i="5"/>
  <c r="R27" i="5"/>
  <c r="Q27" i="5"/>
  <c r="R26" i="5"/>
  <c r="T26" i="5" s="1"/>
  <c r="Q26" i="5"/>
  <c r="S26" i="5" s="1"/>
  <c r="R23" i="5"/>
  <c r="Q23" i="5"/>
  <c r="R24" i="5"/>
  <c r="Q24" i="5"/>
  <c r="R20" i="5"/>
  <c r="Q20" i="5"/>
  <c r="R21" i="5"/>
  <c r="T21" i="5" s="1"/>
  <c r="Q21" i="5"/>
  <c r="R19" i="5"/>
  <c r="Q19" i="5"/>
  <c r="R18" i="5"/>
  <c r="Q18" i="5"/>
  <c r="R17" i="5"/>
  <c r="Q17" i="5"/>
  <c r="R16" i="5"/>
  <c r="Q16" i="5"/>
  <c r="R11" i="5"/>
  <c r="Q11" i="5"/>
  <c r="R15" i="5"/>
  <c r="Q15" i="5"/>
  <c r="Q14" i="5"/>
  <c r="S14" i="5" s="1"/>
  <c r="R22" i="5"/>
  <c r="T22" i="5" s="1"/>
  <c r="Q10" i="5"/>
  <c r="S10" i="5" s="1"/>
  <c r="W9" i="5"/>
  <c r="Q8" i="5"/>
  <c r="R8" i="5"/>
  <c r="T8" i="5" s="1"/>
  <c r="R8" i="1"/>
  <c r="L28" i="3"/>
  <c r="M28" i="3"/>
  <c r="O28" i="3"/>
  <c r="Q28" i="3"/>
  <c r="R28" i="3"/>
  <c r="S28" i="3"/>
  <c r="T28" i="3"/>
  <c r="U28" i="3"/>
  <c r="V28" i="3"/>
  <c r="K28" i="3"/>
  <c r="R82" i="1" l="1"/>
  <c r="S21" i="5"/>
  <c r="S8" i="5"/>
  <c r="Q65" i="5"/>
  <c r="W65" i="5"/>
  <c r="W12" i="1"/>
  <c r="W82" i="1" s="1"/>
  <c r="U20" i="5"/>
  <c r="S20" i="5" s="1"/>
  <c r="V20" i="5"/>
  <c r="T20" i="5" s="1"/>
  <c r="S46" i="5"/>
  <c r="S60" i="5"/>
  <c r="T52" i="5"/>
  <c r="V60" i="5"/>
  <c r="T60" i="5" s="1"/>
  <c r="S31" i="5"/>
  <c r="U9" i="1"/>
  <c r="S9" i="1" s="1"/>
  <c r="S82" i="1" s="1"/>
  <c r="S52" i="5"/>
  <c r="T33" i="5"/>
  <c r="S33" i="5" s="1"/>
  <c r="V24" i="5"/>
  <c r="S24" i="5" s="1"/>
  <c r="X65" i="5"/>
  <c r="N28" i="3"/>
  <c r="V9" i="5"/>
  <c r="T9" i="5" s="1"/>
  <c r="R65" i="5"/>
  <c r="P28" i="3"/>
  <c r="T12" i="1" l="1"/>
  <c r="T82" i="1" s="1"/>
  <c r="S65" i="5"/>
  <c r="U65" i="5"/>
  <c r="V65" i="5"/>
  <c r="T24" i="5"/>
  <c r="T65" i="5" s="1"/>
  <c r="R66" i="5" s="1"/>
  <c r="R67" i="5" s="1"/>
  <c r="Q66" i="5" l="1"/>
  <c r="Q67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L_ucy</author>
  </authors>
  <commentList>
    <comment ref="V9" authorId="0" shapeId="0" xr:uid="{944779BE-037F-4FEE-8610-F5C1F5A760E3}">
      <text>
        <r>
          <rPr>
            <b/>
            <sz val="9"/>
            <color indexed="81"/>
            <rFont val="Tahoma"/>
            <family val="2"/>
          </rPr>
          <t>L_ucy:</t>
        </r>
        <r>
          <rPr>
            <sz val="9"/>
            <color indexed="81"/>
            <rFont val="Tahoma"/>
            <family val="2"/>
          </rPr>
          <t xml:space="preserve">
musee SS  22,50 pas de TVA</t>
        </r>
      </text>
    </comment>
    <comment ref="U10" authorId="0" shapeId="0" xr:uid="{AB68F92F-1B51-4B27-9C63-AE6E4DBC381C}">
      <text>
        <r>
          <rPr>
            <b/>
            <sz val="9"/>
            <color indexed="81"/>
            <rFont val="Tahoma"/>
            <family val="2"/>
          </rPr>
          <t>L_ucy:</t>
        </r>
        <r>
          <rPr>
            <sz val="9"/>
            <color indexed="81"/>
            <rFont val="Tahoma"/>
            <family val="2"/>
          </rPr>
          <t xml:space="preserve">
tva 10</t>
        </r>
      </text>
    </comment>
    <comment ref="V10" authorId="0" shapeId="0" xr:uid="{8E77CF0D-D344-4788-8315-5C77184BA6AF}">
      <text>
        <r>
          <rPr>
            <b/>
            <sz val="9"/>
            <color indexed="81"/>
            <rFont val="Tahoma"/>
            <family val="2"/>
          </rPr>
          <t>L_ucy:</t>
        </r>
        <r>
          <rPr>
            <sz val="9"/>
            <color indexed="81"/>
            <rFont val="Tahoma"/>
            <family val="2"/>
          </rPr>
          <t xml:space="preserve">
art des mets 16€  tva a 10</t>
        </r>
      </text>
    </comment>
    <comment ref="U12" authorId="0" shapeId="0" xr:uid="{7E06BD51-756A-4D5F-A7F1-55DF4F198009}">
      <text>
        <r>
          <rPr>
            <b/>
            <sz val="9"/>
            <color indexed="81"/>
            <rFont val="Tahoma"/>
            <family val="2"/>
          </rPr>
          <t>L_ucy:</t>
        </r>
        <r>
          <rPr>
            <sz val="9"/>
            <color indexed="81"/>
            <rFont val="Tahoma"/>
            <family val="2"/>
          </rPr>
          <t xml:space="preserve">
moulie 961,82</t>
        </r>
      </text>
    </comment>
    <comment ref="V12" authorId="0" shapeId="0" xr:uid="{84378F9B-4038-432E-96CC-4A5F301B423F}">
      <text>
        <r>
          <rPr>
            <b/>
            <sz val="9"/>
            <color indexed="81"/>
            <rFont val="Tahoma"/>
            <family val="2"/>
          </rPr>
          <t>L_ucy:</t>
        </r>
        <r>
          <rPr>
            <sz val="9"/>
            <color indexed="81"/>
            <rFont val="Tahoma"/>
            <family val="2"/>
          </rPr>
          <t xml:space="preserve">
faience :144,90 pas de tva
moulie 1058  tva 10
brassempouy 299  pas de tva</t>
        </r>
      </text>
    </comment>
    <comment ref="V13" authorId="0" shapeId="0" xr:uid="{378979ED-E201-48FD-B38B-A41E9BF60333}">
      <text>
        <r>
          <rPr>
            <b/>
            <sz val="9"/>
            <color indexed="81"/>
            <rFont val="Tahoma"/>
            <family val="2"/>
          </rPr>
          <t>L_ucy:</t>
        </r>
        <r>
          <rPr>
            <sz val="9"/>
            <color indexed="81"/>
            <rFont val="Tahoma"/>
            <family val="2"/>
          </rPr>
          <t xml:space="preserve">
faience 66,15 pas de tva</t>
        </r>
      </text>
    </comment>
    <comment ref="V20" authorId="0" shapeId="0" xr:uid="{3C1AC455-E2E2-4618-AC95-E6A3BE29117A}">
      <text>
        <r>
          <rPr>
            <b/>
            <sz val="9"/>
            <color indexed="81"/>
            <rFont val="Tahoma"/>
            <family val="2"/>
          </rPr>
          <t>L_ucy:</t>
        </r>
        <r>
          <rPr>
            <sz val="9"/>
            <color indexed="81"/>
            <rFont val="Tahoma"/>
            <family val="2"/>
          </rPr>
          <t xml:space="preserve">
art des met 16€ tva 10 240</t>
        </r>
      </text>
    </comment>
    <comment ref="U21" authorId="0" shapeId="0" xr:uid="{6B78820F-A679-4E1B-8AE5-C85F07191BB8}">
      <text>
        <r>
          <rPr>
            <b/>
            <sz val="9"/>
            <color indexed="81"/>
            <rFont val="Tahoma"/>
            <family val="2"/>
          </rPr>
          <t>L_ucy:</t>
        </r>
        <r>
          <rPr>
            <sz val="9"/>
            <color indexed="81"/>
            <rFont val="Tahoma"/>
            <family val="2"/>
          </rPr>
          <t xml:space="preserve">
 moulie 414,55</t>
        </r>
      </text>
    </comment>
    <comment ref="V21" authorId="0" shapeId="0" xr:uid="{F46AB25E-CF22-473A-B4D1-F91FFDE201A7}">
      <text>
        <r>
          <rPr>
            <b/>
            <sz val="9"/>
            <color indexed="81"/>
            <rFont val="Tahoma"/>
            <family val="2"/>
          </rPr>
          <t>L_ucy:</t>
        </r>
        <r>
          <rPr>
            <sz val="9"/>
            <color indexed="81"/>
            <rFont val="Tahoma"/>
            <family val="2"/>
          </rPr>
          <t xml:space="preserve">
faience 59,85 pas de tva
moulié 456 tva 10
vannerie 38
quiller 28,50</t>
        </r>
      </text>
    </comment>
    <comment ref="V22" authorId="0" shapeId="0" xr:uid="{F1A3E5EA-6671-4AC1-90AB-C6D7713C427C}">
      <text>
        <r>
          <rPr>
            <b/>
            <sz val="9"/>
            <color indexed="81"/>
            <rFont val="Tahoma"/>
            <family val="2"/>
          </rPr>
          <t>L_ucy:</t>
        </r>
        <r>
          <rPr>
            <sz val="9"/>
            <color indexed="81"/>
            <rFont val="Tahoma"/>
            <family val="2"/>
          </rPr>
          <t xml:space="preserve">
art des mets 
10% tva 400</t>
        </r>
      </text>
    </comment>
    <comment ref="V26" authorId="0" shapeId="0" xr:uid="{CBBD4903-6A9A-4A77-99BC-27A4B8DE3AD8}">
      <text>
        <r>
          <rPr>
            <b/>
            <sz val="9"/>
            <color indexed="81"/>
            <rFont val="Tahoma"/>
            <family val="2"/>
          </rPr>
          <t>L_ucy:</t>
        </r>
        <r>
          <rPr>
            <sz val="9"/>
            <color indexed="81"/>
            <rFont val="Tahoma"/>
            <family val="2"/>
          </rPr>
          <t xml:space="preserve">
faience: 138,60 pas de tva
</t>
        </r>
      </text>
    </comment>
    <comment ref="V31" authorId="0" shapeId="0" xr:uid="{3D240019-174D-423E-81C6-B2DBC4F40E19}">
      <text>
        <r>
          <rPr>
            <b/>
            <sz val="9"/>
            <color indexed="81"/>
            <rFont val="Tahoma"/>
            <family val="2"/>
          </rPr>
          <t>L_ucy:</t>
        </r>
        <r>
          <rPr>
            <sz val="9"/>
            <color indexed="81"/>
            <rFont val="Tahoma"/>
            <family val="2"/>
          </rPr>
          <t xml:space="preserve">
faience 63 pas de tva
cave 100 tva 20
4 canton 440 tva 10</t>
        </r>
      </text>
    </comment>
    <comment ref="V52" authorId="0" shapeId="0" xr:uid="{E0ED1B02-8E76-4F05-A3D0-670019FAEC33}">
      <text>
        <r>
          <rPr>
            <b/>
            <sz val="9"/>
            <color indexed="81"/>
            <rFont val="Tahoma"/>
            <family val="2"/>
          </rPr>
          <t>L_ucy:</t>
        </r>
        <r>
          <rPr>
            <sz val="9"/>
            <color indexed="81"/>
            <rFont val="Tahoma"/>
            <family val="2"/>
          </rPr>
          <t xml:space="preserve">
musee 54
sentex : 60</t>
        </r>
      </text>
    </comment>
    <comment ref="U53" authorId="0" shapeId="0" xr:uid="{8434725F-0293-4711-8FA4-94A858208513}">
      <text>
        <r>
          <rPr>
            <b/>
            <sz val="9"/>
            <color indexed="81"/>
            <rFont val="Tahoma"/>
            <family val="2"/>
          </rPr>
          <t>L_ucy:</t>
        </r>
        <r>
          <rPr>
            <sz val="9"/>
            <color indexed="81"/>
            <rFont val="Tahoma"/>
            <family val="2"/>
          </rPr>
          <t xml:space="preserve">
 tva 10</t>
        </r>
      </text>
    </comment>
    <comment ref="V56" authorId="0" shapeId="0" xr:uid="{3B8A73A5-BBBD-46C2-B668-44ECBB33110F}">
      <text>
        <r>
          <rPr>
            <b/>
            <sz val="9"/>
            <color indexed="81"/>
            <rFont val="Tahoma"/>
            <family val="2"/>
          </rPr>
          <t>L_ucy:</t>
        </r>
        <r>
          <rPr>
            <sz val="9"/>
            <color indexed="81"/>
            <rFont val="Tahoma"/>
            <family val="2"/>
          </rPr>
          <t xml:space="preserve">
brassempouy : 240,50
cave : 185
art des mets : 666 tva 10
musee :83,25</t>
        </r>
      </text>
    </comment>
    <comment ref="U58" authorId="0" shapeId="0" xr:uid="{E63D74FD-3F1E-4AA1-A3F8-AA12180B64FE}">
      <text>
        <r>
          <rPr>
            <b/>
            <sz val="9"/>
            <color indexed="81"/>
            <rFont val="Tahoma"/>
            <family val="2"/>
          </rPr>
          <t>L_ucy:</t>
        </r>
        <r>
          <rPr>
            <sz val="9"/>
            <color indexed="81"/>
            <rFont val="Tahoma"/>
            <family val="2"/>
          </rPr>
          <t xml:space="preserve">
maynus 20% tva 645,83
micromegas 110 tva 20%
</t>
        </r>
      </text>
    </comment>
    <comment ref="V58" authorId="0" shapeId="0" xr:uid="{71E3D65F-8BF6-4E64-8F14-504B309B807C}">
      <text>
        <r>
          <rPr>
            <b/>
            <sz val="9"/>
            <color indexed="81"/>
            <rFont val="Tahoma"/>
            <family val="2"/>
          </rPr>
          <t>L_ucy:</t>
        </r>
        <r>
          <rPr>
            <sz val="9"/>
            <color indexed="81"/>
            <rFont val="Tahoma"/>
            <family val="2"/>
          </rPr>
          <t xml:space="preserve">
micromegas 4 €
maynus 775*
</t>
        </r>
      </text>
    </comment>
    <comment ref="V60" authorId="0" shapeId="0" xr:uid="{434ACE3A-F23F-42AD-86A4-4691BE9F0832}">
      <text>
        <r>
          <rPr>
            <b/>
            <sz val="9"/>
            <color indexed="81"/>
            <rFont val="Tahoma"/>
            <family val="2"/>
          </rPr>
          <t>L_ucy:</t>
        </r>
        <r>
          <rPr>
            <sz val="9"/>
            <color indexed="81"/>
            <rFont val="Tahoma"/>
            <family val="2"/>
          </rPr>
          <t xml:space="preserve">
art des mets 18€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L_ucy</author>
    <author>l.bovy</author>
  </authors>
  <commentList>
    <comment ref="V9" authorId="0" shapeId="0" xr:uid="{F72485BD-2542-47DA-A846-A016295D0B97}">
      <text>
        <r>
          <rPr>
            <b/>
            <sz val="9"/>
            <color indexed="81"/>
            <rFont val="Tahoma"/>
            <family val="2"/>
          </rPr>
          <t>L_ucy:</t>
        </r>
        <r>
          <rPr>
            <sz val="9"/>
            <color indexed="81"/>
            <rFont val="Tahoma"/>
            <family val="2"/>
          </rPr>
          <t xml:space="preserve">
art des mets : 18*20=360 tva 10
musee =2,25*20 =45</t>
        </r>
      </text>
    </comment>
    <comment ref="V10" authorId="1" shapeId="0" xr:uid="{670E3315-A87A-4557-892E-3FFA37ADF2C5}">
      <text>
        <r>
          <rPr>
            <b/>
            <sz val="9"/>
            <color indexed="81"/>
            <rFont val="Tahoma"/>
            <family val="2"/>
          </rPr>
          <t>l.bovy:</t>
        </r>
        <r>
          <rPr>
            <sz val="9"/>
            <color indexed="81"/>
            <rFont val="Tahoma"/>
            <family val="2"/>
          </rPr>
          <t xml:space="preserve">
faience:  179,55</t>
        </r>
      </text>
    </comment>
    <comment ref="L14" authorId="0" shapeId="0" xr:uid="{749A8249-0D0C-449F-A553-03EDB90DEC07}">
      <text>
        <r>
          <rPr>
            <b/>
            <sz val="9"/>
            <color indexed="81"/>
            <rFont val="Tahoma"/>
            <family val="2"/>
          </rPr>
          <t>L_ucy:</t>
        </r>
        <r>
          <rPr>
            <sz val="9"/>
            <color indexed="81"/>
            <rFont val="Tahoma"/>
            <family val="2"/>
          </rPr>
          <t xml:space="preserve">
+1 chauffeur</t>
        </r>
      </text>
    </comment>
    <comment ref="V14" authorId="1" shapeId="0" xr:uid="{A55E964C-90BE-4687-88BC-BB5B59108D34}">
      <text>
        <r>
          <rPr>
            <b/>
            <sz val="9"/>
            <color indexed="81"/>
            <rFont val="Tahoma"/>
            <charset val="1"/>
          </rPr>
          <t>l.bovy:</t>
        </r>
        <r>
          <rPr>
            <sz val="9"/>
            <color indexed="81"/>
            <rFont val="Tahoma"/>
            <charset val="1"/>
          </rPr>
          <t xml:space="preserve">
328 brassempouy</t>
        </r>
      </text>
    </comment>
    <comment ref="U21" authorId="0" shapeId="0" xr:uid="{AEF0C725-011A-41F6-B049-124B06ADCF81}">
      <text>
        <r>
          <rPr>
            <b/>
            <sz val="9"/>
            <color indexed="81"/>
            <rFont val="Tahoma"/>
            <family val="2"/>
          </rPr>
          <t>L_ucy:</t>
        </r>
        <r>
          <rPr>
            <sz val="9"/>
            <color indexed="81"/>
            <rFont val="Tahoma"/>
            <family val="2"/>
          </rPr>
          <t xml:space="preserve">
art des mets 477,27
musse ss : 45
faience : 63</t>
        </r>
      </text>
    </comment>
    <comment ref="V21" authorId="0" shapeId="0" xr:uid="{FBEE1551-9EDD-489E-A635-CA90AC9DB8C0}">
      <text>
        <r>
          <rPr>
            <b/>
            <sz val="9"/>
            <color indexed="81"/>
            <rFont val="Tahoma"/>
            <family val="2"/>
          </rPr>
          <t>L_ucy:</t>
        </r>
        <r>
          <rPr>
            <sz val="9"/>
            <color indexed="81"/>
            <rFont val="Tahoma"/>
            <family val="2"/>
          </rPr>
          <t xml:space="preserve">
art des mets 525</t>
        </r>
      </text>
    </comment>
    <comment ref="S34" authorId="0" shapeId="0" xr:uid="{11149580-8436-4082-9AB7-048904A99E27}">
      <text>
        <r>
          <rPr>
            <b/>
            <sz val="9"/>
            <color indexed="81"/>
            <rFont val="Tahoma"/>
            <family val="2"/>
          </rPr>
          <t>L_ucy:</t>
        </r>
        <r>
          <rPr>
            <sz val="9"/>
            <color indexed="81"/>
            <rFont val="Tahoma"/>
            <family val="2"/>
          </rPr>
          <t xml:space="preserve">
bistroquet 292,73
brassempouy 112</t>
        </r>
      </text>
    </comment>
    <comment ref="T34" authorId="0" shapeId="0" xr:uid="{614A6C58-D9B0-40F9-8E21-481D42288616}">
      <text>
        <r>
          <rPr>
            <b/>
            <sz val="9"/>
            <color indexed="81"/>
            <rFont val="Tahoma"/>
            <family val="2"/>
          </rPr>
          <t>L_ucy:</t>
        </r>
        <r>
          <rPr>
            <sz val="9"/>
            <color indexed="81"/>
            <rFont val="Tahoma"/>
            <family val="2"/>
          </rPr>
          <t xml:space="preserve">
bistroquet 322
brassempouy 112</t>
        </r>
      </text>
    </comment>
    <comment ref="S38" authorId="0" shapeId="0" xr:uid="{E89994C5-EFEA-47E8-ACF0-8C34E03F9C9C}">
      <text>
        <r>
          <rPr>
            <b/>
            <sz val="9"/>
            <color indexed="81"/>
            <rFont val="Tahoma"/>
            <family val="2"/>
          </rPr>
          <t>L_uc</t>
        </r>
        <r>
          <rPr>
            <sz val="9"/>
            <color indexed="81"/>
            <rFont val="Tahoma"/>
            <family val="2"/>
          </rPr>
          <t xml:space="preserve">
bistroquet 1045,45</t>
        </r>
      </text>
    </comment>
    <comment ref="T38" authorId="0" shapeId="0" xr:uid="{1311A885-5A63-49CA-965C-21B2A7E64B09}">
      <text>
        <r>
          <rPr>
            <b/>
            <sz val="9"/>
            <color indexed="81"/>
            <rFont val="Tahoma"/>
            <family val="2"/>
          </rPr>
          <t>L_ucy:</t>
        </r>
        <r>
          <rPr>
            <sz val="9"/>
            <color indexed="81"/>
            <rFont val="Tahoma"/>
            <family val="2"/>
          </rPr>
          <t xml:space="preserve">
bistroquet 1150</t>
        </r>
      </text>
    </comment>
    <comment ref="W83" authorId="0" shapeId="0" xr:uid="{B926254B-28BB-4927-9854-73788877EF30}">
      <text>
        <r>
          <rPr>
            <b/>
            <sz val="9"/>
            <color indexed="81"/>
            <rFont val="Tahoma"/>
            <family val="2"/>
          </rPr>
          <t>L_ucy:</t>
        </r>
        <r>
          <rPr>
            <sz val="9"/>
            <color indexed="81"/>
            <rFont val="Tahoma"/>
            <family val="2"/>
          </rPr>
          <t xml:space="preserve">
oublies 2022 à rajouter sur la facture 2023</t>
        </r>
      </text>
    </comment>
  </commentList>
</comments>
</file>

<file path=xl/sharedStrings.xml><?xml version="1.0" encoding="utf-8"?>
<sst xmlns="http://schemas.openxmlformats.org/spreadsheetml/2006/main" count="1150" uniqueCount="729">
  <si>
    <t>NOM DU GROUPE</t>
  </si>
  <si>
    <t>NOM ET PRENOM</t>
  </si>
  <si>
    <t>TEL</t>
  </si>
  <si>
    <t>MAIL</t>
  </si>
  <si>
    <t>ADRESSE</t>
  </si>
  <si>
    <t>CONTACT</t>
  </si>
  <si>
    <t>CONTRACTUALISATION</t>
  </si>
  <si>
    <t xml:space="preserve"> ENVOI LE</t>
  </si>
  <si>
    <t>RETOUR LE</t>
  </si>
  <si>
    <t>ACOMPTE</t>
  </si>
  <si>
    <t>TARIF</t>
  </si>
  <si>
    <t>PAR</t>
  </si>
  <si>
    <t xml:space="preserve"> HT</t>
  </si>
  <si>
    <t>TTC</t>
  </si>
  <si>
    <t>PRIX DE VENTE PAR PERS</t>
  </si>
  <si>
    <t>NOMBRE</t>
  </si>
  <si>
    <t>PARTICIPANTS</t>
  </si>
  <si>
    <t>CATEGORIE</t>
  </si>
  <si>
    <t>CA TOTAL</t>
  </si>
  <si>
    <t>HT</t>
  </si>
  <si>
    <t>BENEFICE OT</t>
  </si>
  <si>
    <t>TABLEAU SUIVI DES GROUPES 2023</t>
  </si>
  <si>
    <t>BENEFICE PRESTA TOTAL</t>
  </si>
  <si>
    <t>BENEFICE MAIRIE</t>
  </si>
  <si>
    <t>BENEFICE MOITRY</t>
  </si>
  <si>
    <t>GUIDE</t>
  </si>
  <si>
    <t>NOM</t>
  </si>
  <si>
    <t>COMPTA</t>
  </si>
  <si>
    <t>GESTION</t>
  </si>
  <si>
    <t>PROGRAMMATION VISITE</t>
  </si>
  <si>
    <t>DATE ET HEURE</t>
  </si>
  <si>
    <t>CONTENUE</t>
  </si>
  <si>
    <t>TABLEAU SUIVI DES FACTURES GROUPES 2023</t>
  </si>
  <si>
    <t>EXCURSION REALISEE LE</t>
  </si>
  <si>
    <t>PRESTATAIRES</t>
  </si>
  <si>
    <t>STATUT DE  LA FACTURE (RECU LE / EN ATTENTE)</t>
  </si>
  <si>
    <t>MONTANT HT</t>
  </si>
  <si>
    <t>MONTANT TTC</t>
  </si>
  <si>
    <t>EN ATTENTE</t>
  </si>
  <si>
    <t>ENVOI LE</t>
  </si>
  <si>
    <t>PROPOSITION</t>
  </si>
  <si>
    <t>abbatiale</t>
  </si>
  <si>
    <t>ville SS</t>
  </si>
  <si>
    <t>40/50</t>
  </si>
  <si>
    <t>06 72 37 28 26 / 05 57 15 10 10</t>
  </si>
  <si>
    <t>PERDU</t>
  </si>
  <si>
    <t>REMARQUES</t>
  </si>
  <si>
    <t>Date déjà prise par un autre groupe, pas d'autres guides</t>
  </si>
  <si>
    <t>Interage pau</t>
  </si>
  <si>
    <t xml:space="preserve">Josiane </t>
  </si>
  <si>
    <t>3ème age</t>
  </si>
  <si>
    <t>06 79 44 47 84</t>
  </si>
  <si>
    <t>institutculturelleinterage@orange.fr</t>
  </si>
  <si>
    <t>jeudi 2 février 10h</t>
  </si>
  <si>
    <t>Joel Ichas</t>
  </si>
  <si>
    <t>06 32 57 11 14</t>
  </si>
  <si>
    <t>06 12 64 67 97</t>
  </si>
  <si>
    <t>piris.herve@gmail.com / doudou.phil@hotmail.fr</t>
  </si>
  <si>
    <t>samedi 4 mars 2023</t>
  </si>
  <si>
    <t>Yvon Ransac</t>
  </si>
  <si>
    <t>06 59 71 50 67</t>
  </si>
  <si>
    <t>ransac.yvon@orange.fr</t>
  </si>
  <si>
    <t>mardi 31 janvier 14h</t>
  </si>
  <si>
    <t>ouverture crypte</t>
  </si>
  <si>
    <t>jeudi 15 juin 9h30</t>
  </si>
  <si>
    <t>CCAS Martignas</t>
  </si>
  <si>
    <t>Anne Sophie Demagny</t>
  </si>
  <si>
    <t>05 57 97 00 51</t>
  </si>
  <si>
    <t>jeudi 2 février</t>
  </si>
  <si>
    <t>contact@museejeannedalbret.com</t>
  </si>
  <si>
    <t>Musée jeanne d'Albret</t>
  </si>
  <si>
    <t>05 59 69 14 03</t>
  </si>
  <si>
    <t>Estelle Delmas</t>
  </si>
  <si>
    <t>10h brassempouy / auberge moulié / 15h samadet</t>
  </si>
  <si>
    <t>J'aime le pays de Buch</t>
  </si>
  <si>
    <t>06 72 90 75 81</t>
  </si>
  <si>
    <t>as.demagny@ville-martignas.fr</t>
  </si>
  <si>
    <t>VALIDE</t>
  </si>
  <si>
    <t>Monique DUTILH</t>
  </si>
  <si>
    <t>Asso sportive du bassin d'arcachon</t>
  </si>
  <si>
    <t>monique.dutilh33@orange.fr</t>
  </si>
  <si>
    <t>musée SS / art des mets / ville SS ( 2 groupes)</t>
  </si>
  <si>
    <t>Association retraite sportive de bayonne</t>
  </si>
  <si>
    <t>Véronique Bergonzoni</t>
  </si>
  <si>
    <t>association Abbatia, réseau régional des abbayes</t>
  </si>
  <si>
    <t>contact@abbayedetrizay17.fr</t>
  </si>
  <si>
    <t xml:space="preserve">05 46 82 34 25 </t>
  </si>
  <si>
    <t>art des mets</t>
  </si>
  <si>
    <t>6eme</t>
  </si>
  <si>
    <t>College saint joseph</t>
  </si>
  <si>
    <t>amis.de.sorde@gmail.com</t>
  </si>
  <si>
    <t>Amis de sorde</t>
  </si>
  <si>
    <t>10h30 : musee SS / 12h art des mets / 14h abbatiale de st sever / 15h30 crypte</t>
  </si>
  <si>
    <t>louisette.izard@sfr.fr</t>
  </si>
  <si>
    <t>Izard Louisette</t>
  </si>
  <si>
    <t>06 14 23 69 31</t>
  </si>
  <si>
    <t>isadu.portal@gmail.com</t>
  </si>
  <si>
    <t>journée à brassempouy et bistroquet</t>
  </si>
  <si>
    <t>CCAS de PAU</t>
  </si>
  <si>
    <t>n.dupre@ville-pau.fr</t>
  </si>
  <si>
    <t>06 37 67 52 74 / 05 59 82 24 98</t>
  </si>
  <si>
    <t>Noelle Dupré</t>
  </si>
  <si>
    <t>Centre communal d'action social Espace Lydie Laborde - 14 rue Jean-Baptiste Carreau, 64000 PAU</t>
  </si>
  <si>
    <t>Loisirs et coutume</t>
  </si>
  <si>
    <t>06 59 65 21 88</t>
  </si>
  <si>
    <t>unafam</t>
  </si>
  <si>
    <t>TABLEAU SUIVI DES GROUPES 2022</t>
  </si>
  <si>
    <t>CLES LOISIRS</t>
  </si>
  <si>
    <t>crypte</t>
  </si>
  <si>
    <t>Patricia Goutenegre</t>
  </si>
  <si>
    <t>3 age</t>
  </si>
  <si>
    <t>5 février 2022</t>
  </si>
  <si>
    <t>21 février 2022</t>
  </si>
  <si>
    <t>CENTRE SOCIAL MARIAPIA</t>
  </si>
  <si>
    <t>ville et musée SS</t>
  </si>
  <si>
    <t>M. Skorv</t>
  </si>
  <si>
    <t>24 février 2022</t>
  </si>
  <si>
    <t>ASSOCIATION INTERCULTUTELLE ARCACHON</t>
  </si>
  <si>
    <t>M. Pinson Jean</t>
  </si>
  <si>
    <t>ville SS et art des mets</t>
  </si>
  <si>
    <t>16 mai 2022</t>
  </si>
  <si>
    <t>ART ET VIE MESSANGE</t>
  </si>
  <si>
    <t>M. Lafitte Thierry</t>
  </si>
  <si>
    <t>art des mets et ville geaune</t>
  </si>
  <si>
    <t>31 mars 2022</t>
  </si>
  <si>
    <t>MGEN CLUB DES RETRAITES SUD LANDES</t>
  </si>
  <si>
    <t>M. Pujol Alain</t>
  </si>
  <si>
    <t>ville Ss et musée de la faience</t>
  </si>
  <si>
    <t>ASSOCIATION AU FIL DE LA CULTURE</t>
  </si>
  <si>
    <t>24 mars 2022</t>
  </si>
  <si>
    <t>ASSOCIATION FELIX ARNAUDIN</t>
  </si>
  <si>
    <t>Mma Cabanieu</t>
  </si>
  <si>
    <t>brassempouy, moulié et musée faience</t>
  </si>
  <si>
    <t>5 avril 2022</t>
  </si>
  <si>
    <t>TOUYAROT</t>
  </si>
  <si>
    <t>21 mars 2022</t>
  </si>
  <si>
    <t>MOTCHILA ETCETERA</t>
  </si>
  <si>
    <t>Catherine</t>
  </si>
  <si>
    <t>isabelle du portal</t>
  </si>
  <si>
    <t>visite saint sever (1h30 )</t>
  </si>
  <si>
    <t>samedi 13 mai 2023 14h30</t>
  </si>
  <si>
    <t>ESPIAU</t>
  </si>
  <si>
    <t>1 avril 2022</t>
  </si>
  <si>
    <t>9 avril 2022</t>
  </si>
  <si>
    <t>M. Balagna Christophe</t>
  </si>
  <si>
    <t>23 avril 2022</t>
  </si>
  <si>
    <t>15 mai 2022</t>
  </si>
  <si>
    <t>ASSOCIATION RYTHME  DANSE ET LOISIRS</t>
  </si>
  <si>
    <t>quiller et maison de la vannerie / moulié / faience</t>
  </si>
  <si>
    <t>M.Garbay</t>
  </si>
  <si>
    <t>14 mai 2022</t>
  </si>
  <si>
    <t>ville et musee SS / art des mets</t>
  </si>
  <si>
    <t>UNIVERSITE DU TEMPS LIBRE DE BIARRITZ</t>
  </si>
  <si>
    <t>29 mai 2022</t>
  </si>
  <si>
    <t>AMIS DES EGLISES ANCIENNES DES LANDES</t>
  </si>
  <si>
    <t>musee SS</t>
  </si>
  <si>
    <t>Regis Di  Guilio</t>
  </si>
  <si>
    <t>21 mai 2022</t>
  </si>
  <si>
    <t>2 juin 2022</t>
  </si>
  <si>
    <t>ville ss et musee faience</t>
  </si>
  <si>
    <t>ASSOCIATION NLE HOSPITALIERS RETRAITES</t>
  </si>
  <si>
    <t>3 juin 2022</t>
  </si>
  <si>
    <t>7 juin 2022</t>
  </si>
  <si>
    <t>VOYAGES CARPY CHRISTIAN</t>
  </si>
  <si>
    <t>8 juin 2022</t>
  </si>
  <si>
    <t>11 juin 2022</t>
  </si>
  <si>
    <t>AUTO RETRO DU MONT ROYAL</t>
  </si>
  <si>
    <t>13 juin 2022</t>
  </si>
  <si>
    <t>AMICALE RETRAITE LA CIGALE</t>
  </si>
  <si>
    <t>musee faience / 4 cantons / cave</t>
  </si>
  <si>
    <t>juin 2022</t>
  </si>
  <si>
    <t>COLLEGE LUBET BARBON</t>
  </si>
  <si>
    <t>abbatiale SS et musee SS</t>
  </si>
  <si>
    <t>15 juin 2022</t>
  </si>
  <si>
    <t>CLUB DE LA BONNE HUMEUR</t>
  </si>
  <si>
    <t>ville SS et crypte</t>
  </si>
  <si>
    <t>AMAC LE CAFE MUSIC</t>
  </si>
  <si>
    <t>13 juillet 2022</t>
  </si>
  <si>
    <t>monstrueuse au musee</t>
  </si>
  <si>
    <t>LES THERMES DE L'AVENUE</t>
  </si>
  <si>
    <t>voyages.touyarot@wanadoo.fr</t>
  </si>
  <si>
    <t>29 juillet 2022</t>
  </si>
  <si>
    <t>4 aout 2022</t>
  </si>
  <si>
    <t>RESEAU AMIEZ</t>
  </si>
  <si>
    <t>16 aout 2022</t>
  </si>
  <si>
    <t>crypte, sentex, abbatiale</t>
  </si>
  <si>
    <t>nadinesanchez7@orange.fr</t>
  </si>
  <si>
    <t>CULTURE VIAJES PATRIMONIO</t>
  </si>
  <si>
    <t>1 juin  2022</t>
  </si>
  <si>
    <t>AMICALE DES RETRAITES DU BORN</t>
  </si>
  <si>
    <t>ASS VIELLES PIERRES FRANCAISES</t>
  </si>
  <si>
    <t>25 aout 2022</t>
  </si>
  <si>
    <t>sentex</t>
  </si>
  <si>
    <t>6 avril 2023 à 10h30</t>
  </si>
  <si>
    <t>bastide de geaune</t>
  </si>
  <si>
    <t>AGJA</t>
  </si>
  <si>
    <t>Mme Blanchereau</t>
  </si>
  <si>
    <t>bblanchereau@free.fr</t>
  </si>
  <si>
    <t>3 septembre 2022</t>
  </si>
  <si>
    <t>NATURE ET PATRIMOINE</t>
  </si>
  <si>
    <t>5 septembre 2022</t>
  </si>
  <si>
    <t>TOURING CAMPING CARAVANING FRANCE</t>
  </si>
  <si>
    <t>6 septembre 2022</t>
  </si>
  <si>
    <t>19 septembre 2022</t>
  </si>
  <si>
    <t>24 septembre 2022</t>
  </si>
  <si>
    <t>SOCIETE DES ARTS ET DES SCIENCES PAU ET DU BEARN</t>
  </si>
  <si>
    <t>crypte, ville et musee SS</t>
  </si>
  <si>
    <t>SOCIETE DES AMIS DU MUSEE BASQUE</t>
  </si>
  <si>
    <t>15 octobre 2022</t>
  </si>
  <si>
    <t>sentex et musee ss</t>
  </si>
  <si>
    <t>22 octobre 2022</t>
  </si>
  <si>
    <t>AMIS DE L EGLISE DE ST PIUERRE D IRUBE</t>
  </si>
  <si>
    <t>19 octobre 2022</t>
  </si>
  <si>
    <t>SYNDICAT DES EAUX DU MARSEILLON</t>
  </si>
  <si>
    <t>27 octobre 2022</t>
  </si>
  <si>
    <t>CALP CONFERENCE</t>
  </si>
  <si>
    <t>31 octobre 2022</t>
  </si>
  <si>
    <t>MOTCHILLA ETCETERA</t>
  </si>
  <si>
    <t>LANDES ATTRACTIVITE ( DUBAU VOYAGES)</t>
  </si>
  <si>
    <t>29 octobre 2022</t>
  </si>
  <si>
    <t>art des mets, ville et musee SS</t>
  </si>
  <si>
    <t>MONT DE MARSAN ACCUEIL</t>
  </si>
  <si>
    <t>ville ss</t>
  </si>
  <si>
    <t>10 novembre 2022</t>
  </si>
  <si>
    <t>PETRONILLE</t>
  </si>
  <si>
    <t>9 décembre 2022</t>
  </si>
  <si>
    <t>ASAC SECTION POINT DE CROIX</t>
  </si>
  <si>
    <t>mercredi 31 mai 2023</t>
  </si>
  <si>
    <t>CH</t>
  </si>
  <si>
    <t>Abbatia</t>
  </si>
  <si>
    <t>OT pas de prestataire extérieur</t>
  </si>
  <si>
    <t>Musée jeanne d'albret</t>
  </si>
  <si>
    <t>musée SS</t>
  </si>
  <si>
    <t>PAYE PAR VIRGINIE LE</t>
  </si>
  <si>
    <t>art des mets / ville SS</t>
  </si>
  <si>
    <t>pas satisfaite qu'un guide ne prenne pas les 57 personnes</t>
  </si>
  <si>
    <t>ilafitte@artetvie.com</t>
  </si>
  <si>
    <t>Art et vie</t>
  </si>
  <si>
    <t>Mme Lafitte</t>
  </si>
  <si>
    <t>05.58.48.96.00</t>
  </si>
  <si>
    <t>MOITRY</t>
  </si>
  <si>
    <t>MAIRIE SS</t>
  </si>
  <si>
    <t>ville SS, repas et visite maynus, micromegas</t>
  </si>
  <si>
    <t>TVA</t>
  </si>
  <si>
    <t>MONTANT TVA</t>
  </si>
  <si>
    <t>PAS DE TVA</t>
  </si>
  <si>
    <t>RECU LE 2 février 2023</t>
  </si>
  <si>
    <t>petit dejeuner cave, art des met, brassempouy, musee et abbatiale SS</t>
  </si>
  <si>
    <t>repas art des mets</t>
  </si>
  <si>
    <t>boisson art des mets</t>
  </si>
  <si>
    <t>petit dejeuner cave</t>
  </si>
  <si>
    <t>Musee SS 10h -11h30</t>
  </si>
  <si>
    <t>06 47 57 91 23</t>
  </si>
  <si>
    <t>PIRIS HERVE</t>
  </si>
  <si>
    <t>bistroquet / brassempouy / ville SS et musee SS</t>
  </si>
  <si>
    <t xml:space="preserve">ville SS / musée SS / resto </t>
  </si>
  <si>
    <t>Archéo et Patrimoine en Nouvelle Aquitaine</t>
  </si>
  <si>
    <t>jeudi 7 septembre 2023</t>
  </si>
  <si>
    <t>06.51.08.54.24</t>
  </si>
  <si>
    <t>rph33@free.fr </t>
  </si>
  <si>
    <t>Rougier Philippe</t>
  </si>
  <si>
    <t>crypte / art des mets / abbatiale et musée partie béatus uniquement (valérie tatin participe a la journee avec intervention)</t>
  </si>
  <si>
    <t>MAIIRE SS</t>
  </si>
  <si>
    <t>gilles Saint martin</t>
  </si>
  <si>
    <t>Comité des fetes de thiezac</t>
  </si>
  <si>
    <t>nicolas lacroix</t>
  </si>
  <si>
    <t>nicolas.lacroix609@gmail.com</t>
  </si>
  <si>
    <t>mairie</t>
  </si>
  <si>
    <t>MAIRIE DE CAZALIS</t>
  </si>
  <si>
    <t>samedi 15 avril 2023</t>
  </si>
  <si>
    <t>samedi 29 avril 2023  16h30</t>
  </si>
  <si>
    <t>ville de Saint-Sever</t>
  </si>
  <si>
    <t>06 77 35 93 66</t>
  </si>
  <si>
    <t>gillessaint-martin@orange.fr</t>
  </si>
  <si>
    <t>06 52 95 08 74</t>
  </si>
  <si>
    <t>mairie 40300 sordes</t>
  </si>
  <si>
    <t>vendredi 24 février 2023</t>
  </si>
  <si>
    <t>Touyarot</t>
  </si>
  <si>
    <t>pauline</t>
  </si>
  <si>
    <t>pauline / romane</t>
  </si>
  <si>
    <t>sandrine chevalier</t>
  </si>
  <si>
    <t>mercredi 12 avril 15h</t>
  </si>
  <si>
    <t>Motchilla</t>
  </si>
  <si>
    <t>mercredi 24 mai 15h</t>
  </si>
  <si>
    <t>mercredi 14 juin 15h</t>
  </si>
  <si>
    <t>mercredi 6 septembre 15h</t>
  </si>
  <si>
    <t>mercredi 27 septembre 15h</t>
  </si>
  <si>
    <t>mercredi 18 octobre 15h</t>
  </si>
  <si>
    <t>mercredi 19 avril 15h</t>
  </si>
  <si>
    <t>mercredi 10 mai 15h</t>
  </si>
  <si>
    <t>mercredi 31 mai 15h</t>
  </si>
  <si>
    <t>mercredi 21 juin 15h</t>
  </si>
  <si>
    <t>mercredi 2 aout 15h</t>
  </si>
  <si>
    <t>mercredi 23 aout 15h</t>
  </si>
  <si>
    <t>mercredi 13 septembre 15h</t>
  </si>
  <si>
    <t>mercredi 4 octobre 15h</t>
  </si>
  <si>
    <t>mercredi 25 octobre 15h</t>
  </si>
  <si>
    <t>TABLEAU SUIVI DES FACTURES GROUPES 2022</t>
  </si>
  <si>
    <t>Mairie de Saint Sever</t>
  </si>
  <si>
    <t>Art des mets</t>
  </si>
  <si>
    <t>Préhistosite de brassempouy</t>
  </si>
  <si>
    <t>Ferme moulié</t>
  </si>
  <si>
    <t>Musée de la faience</t>
  </si>
  <si>
    <t>quiller</t>
  </si>
  <si>
    <t>maison de la vannerie</t>
  </si>
  <si>
    <t>restaurant les 4 cantons</t>
  </si>
  <si>
    <t>cave de geaune</t>
  </si>
  <si>
    <t>musee de la faience</t>
  </si>
  <si>
    <t>Madame Moitry</t>
  </si>
  <si>
    <t>ganaderia de maynus</t>
  </si>
  <si>
    <t>microbrasserie micromegas</t>
  </si>
  <si>
    <t>vendredi 9 decembre 2022</t>
  </si>
  <si>
    <t>jeudi 25 aout 2022</t>
  </si>
  <si>
    <t>mardi 16 aout 2022</t>
  </si>
  <si>
    <t>Tiers</t>
  </si>
  <si>
    <t>Date facture</t>
  </si>
  <si>
    <t>numéro facture virginie</t>
  </si>
  <si>
    <t>pas de tva</t>
  </si>
  <si>
    <t>pas de numéro</t>
  </si>
  <si>
    <t>SARL DUCAMP</t>
  </si>
  <si>
    <t>MUSEE FAIENCE SAMADET</t>
  </si>
  <si>
    <t>pas de numero</t>
  </si>
  <si>
    <t>MAIRIE CASTENAU CHAL</t>
  </si>
  <si>
    <t>FOURNISSEURS DIVERS</t>
  </si>
  <si>
    <t>VIGNERONS DU TURSAN</t>
  </si>
  <si>
    <t>PREHISTOSITE DE BRASSEMPOUY</t>
  </si>
  <si>
    <t xml:space="preserve">FOURNITURES DIVERS </t>
  </si>
  <si>
    <t>samedi 29 octobre 2022</t>
  </si>
  <si>
    <t>FOURN DIVERS RESTAURANTS</t>
  </si>
  <si>
    <t>FOURN DIVERS RESTAURANT</t>
  </si>
  <si>
    <t>samedi 14 octobre 2022</t>
  </si>
  <si>
    <t>lundi 16 mai 2022</t>
  </si>
  <si>
    <t>mercredi 19 octobre 2022</t>
  </si>
  <si>
    <t>pas encore mise sur exco par virginie ?</t>
  </si>
  <si>
    <t>pas de facture sur my exco relance  yannick</t>
  </si>
  <si>
    <t>9 et 10 septembre 2023</t>
  </si>
  <si>
    <t>Mme cami debat</t>
  </si>
  <si>
    <t>06 45 28 68 02</t>
  </si>
  <si>
    <t>camidebat@wanadoo.fr</t>
  </si>
  <si>
    <t>catherineherbert@hotmail.fr</t>
  </si>
  <si>
    <t>Catherine Herbert</t>
  </si>
  <si>
    <t>06 95 37 18 45</t>
  </si>
  <si>
    <t>musee faience / art des mets /  musee SS / crypte</t>
  </si>
  <si>
    <t>dider castets</t>
  </si>
  <si>
    <t>dids.castets@gmail.com</t>
  </si>
  <si>
    <t>07.87.92.95.74</t>
  </si>
  <si>
    <t>MOITRY MARIE CHRISTINE</t>
  </si>
  <si>
    <t>Les amis de sordes</t>
  </si>
  <si>
    <t>j'aime le pays de buch</t>
  </si>
  <si>
    <t>musée de samadet</t>
  </si>
  <si>
    <t>Ferme Moulié</t>
  </si>
  <si>
    <t>RECU le 27 février 2023</t>
  </si>
  <si>
    <t>RECU le 24 février 2023</t>
  </si>
  <si>
    <t>2 septembre 2023</t>
  </si>
  <si>
    <t>virement</t>
  </si>
  <si>
    <t>06 65 05 56 57</t>
  </si>
  <si>
    <t>Thibault Varée</t>
  </si>
  <si>
    <t>thibault.varre@gmail.com </t>
  </si>
  <si>
    <t>College cap de gascogne et hagetmau</t>
  </si>
  <si>
    <t>Yvon ransac</t>
  </si>
  <si>
    <t>samadet / la marquise / rouge garance</t>
  </si>
  <si>
    <t>50 personnes</t>
  </si>
  <si>
    <t>abbatiale / bubule</t>
  </si>
  <si>
    <t>3ème</t>
  </si>
  <si>
    <t>Collège du Cap de Gascogne</t>
  </si>
  <si>
    <t>Voyages Darriot Bibes</t>
  </si>
  <si>
    <t>Emilie</t>
  </si>
  <si>
    <t>ville SS 10h-12h</t>
  </si>
  <si>
    <t>jeudi 16 mars 2023</t>
  </si>
  <si>
    <t>Collège Hagetmau</t>
  </si>
  <si>
    <t>vendredi 26 mai 17h</t>
  </si>
  <si>
    <t>ville saint-sever</t>
  </si>
  <si>
    <t>mardi 13 juin 16h</t>
  </si>
  <si>
    <t>Alexis kune</t>
  </si>
  <si>
    <t>abbatiale mirroir</t>
  </si>
  <si>
    <t>vendredi 24 mars 2023 9h-11h15</t>
  </si>
  <si>
    <t>autonomie</t>
  </si>
  <si>
    <t>5eme</t>
  </si>
  <si>
    <t xml:space="preserve">ville SS </t>
  </si>
  <si>
    <t>05 58 89 56 16</t>
  </si>
  <si>
    <t>06 81 02 92 84</t>
  </si>
  <si>
    <t>Jean-Paul SAUSSIER</t>
  </si>
  <si>
    <t>Amicale de la 11ème Escadre de Chasse</t>
  </si>
  <si>
    <t>Collège Pierre blanquie</t>
  </si>
  <si>
    <t>abbatiale/ bubulle</t>
  </si>
  <si>
    <t>4 mai 9h30-12h</t>
  </si>
  <si>
    <t>26 avril 9h-11h30</t>
  </si>
  <si>
    <t>24 avril 9h30-12h</t>
  </si>
  <si>
    <t>helene.lahitete@ac-bordeaux.fr</t>
  </si>
  <si>
    <t>Hélène Lahitete</t>
  </si>
  <si>
    <t>05 58 45 20 28</t>
  </si>
  <si>
    <t>mardi 14 juin 2022</t>
  </si>
  <si>
    <t>COLLEGE DU CAP DE GASCOGNE</t>
  </si>
  <si>
    <t>16 juin 2022</t>
  </si>
  <si>
    <t>21 juin 2022</t>
  </si>
  <si>
    <t>23 juin 2022</t>
  </si>
  <si>
    <t>24 juin 2022</t>
  </si>
  <si>
    <t>05 59 31 65 84</t>
  </si>
  <si>
    <t>jeanmarie.saldiboure@gmail.com</t>
  </si>
  <si>
    <t>romane pauline</t>
  </si>
  <si>
    <t>romane</t>
  </si>
  <si>
    <t>Loisirs et coutumes</t>
  </si>
  <si>
    <t>prehistosite brassempouy</t>
  </si>
  <si>
    <t>bistroquet</t>
  </si>
  <si>
    <t>06 76 00 82 59</t>
  </si>
  <si>
    <t>Amicale de Dax touyarot</t>
  </si>
  <si>
    <t>guygadra@laposte.net</t>
  </si>
  <si>
    <t>espiau</t>
  </si>
  <si>
    <t>1er juin</t>
  </si>
  <si>
    <t>SS / resto / samadet</t>
  </si>
  <si>
    <t xml:space="preserve">vendredi 12 mai </t>
  </si>
  <si>
    <t>sentex 15h</t>
  </si>
  <si>
    <t>Mme Gadrat</t>
  </si>
  <si>
    <t>Blondelle</t>
  </si>
  <si>
    <t>cecileb2000@sfr.fr   
christiane.blondelle@sfr.fr</t>
  </si>
  <si>
    <t>mardi 5 septembre  9h30</t>
  </si>
  <si>
    <t>Atxit eta segi</t>
  </si>
  <si>
    <t>Jean marie Saldiboure</t>
  </si>
  <si>
    <t>vendredi 21 avril 15h30</t>
  </si>
  <si>
    <t>RECU le 27 mars 2023</t>
  </si>
  <si>
    <t>vendredi 9 juin 2023 14h30</t>
  </si>
  <si>
    <t>amicale11ec@yahoo.fr; gerard.riotte40@gmail.com</t>
  </si>
  <si>
    <t>jeudi 14 mars 2024</t>
  </si>
  <si>
    <t xml:space="preserve">samedi 13 mai 2023 </t>
  </si>
  <si>
    <t xml:space="preserve">journée à brassempouy </t>
  </si>
  <si>
    <t xml:space="preserve">demi-journée à brassempouy </t>
  </si>
  <si>
    <t>Dujardin Anne</t>
  </si>
  <si>
    <t>07 86 71 05 31</t>
  </si>
  <si>
    <t>9 septembre</t>
  </si>
  <si>
    <t>jeudi 11 mai 10h30-11h30</t>
  </si>
  <si>
    <t>jardin de geaune</t>
  </si>
  <si>
    <t>vaigot alain</t>
  </si>
  <si>
    <t>06 82 05 43 65</t>
  </si>
  <si>
    <t>Société philipps</t>
  </si>
  <si>
    <t>résidence le chantre appt 16 1 rue des colibris 40100 DAX</t>
  </si>
  <si>
    <t>Club bel age de loue</t>
  </si>
  <si>
    <t>06 15 27 53 70</t>
  </si>
  <si>
    <t>M. Lafitte</t>
  </si>
  <si>
    <t>jc.laf40@free.fr</t>
  </si>
  <si>
    <t>4 mai 15h</t>
  </si>
  <si>
    <t xml:space="preserve"> alain.vaigot@orange.fr</t>
  </si>
  <si>
    <t>mercredi 6 septembre 10h30</t>
  </si>
  <si>
    <t>Mairie de Cazalis</t>
  </si>
  <si>
    <t>EN CH le 13/04/2023</t>
  </si>
  <si>
    <t>moitry</t>
  </si>
  <si>
    <t>residence zenithia 81 chemin de laharie 64000 Bayonne</t>
  </si>
  <si>
    <t>saisonnier crypte</t>
  </si>
  <si>
    <t>pas d'inscription</t>
  </si>
  <si>
    <t>Virement</t>
  </si>
  <si>
    <t>Monsieur Piris</t>
  </si>
  <si>
    <t>Voyage Darriot Bibes</t>
  </si>
  <si>
    <t>Collège de Hagetmau</t>
  </si>
  <si>
    <t>Motchila</t>
  </si>
  <si>
    <t>Voyages Touyarot</t>
  </si>
  <si>
    <t>Collège Pierre Blanquie</t>
  </si>
  <si>
    <t>CCAS mougerre</t>
  </si>
  <si>
    <t>Fabienne irrigoyen</t>
  </si>
  <si>
    <t>06 79 82 63 09</t>
  </si>
  <si>
    <t>11 mai 2023</t>
  </si>
  <si>
    <t>Virement 25/04/2023</t>
  </si>
  <si>
    <t>RECU le 25 avril 2023</t>
  </si>
  <si>
    <t>envoyé directement par la CDC  à virginie</t>
  </si>
  <si>
    <t>contractualisation en direct avec la cave 2 € par personne soit 140 € de CA apporté pour la visite hors vente en boutique mugron</t>
  </si>
  <si>
    <t>Association sportive du bassin d'arcachon</t>
  </si>
  <si>
    <t>abbatiale ( 1h30 )</t>
  </si>
  <si>
    <t>07 83 71 32 38</t>
  </si>
  <si>
    <t>Récréé d'après infos retrouvées post-hacking</t>
  </si>
  <si>
    <t>les recoux 16800 soyaux</t>
  </si>
  <si>
    <t>Mme Kim HOLIGER</t>
  </si>
  <si>
    <t>06.71.00.21.15</t>
  </si>
  <si>
    <t>k.ohliger@mairie- morlaas.fr</t>
  </si>
  <si>
    <t>catherine.haurat@sfr.fr</t>
  </si>
  <si>
    <t>06 27 04 32 53</t>
  </si>
  <si>
    <t>marie.larramendy@gmail.com</t>
  </si>
  <si>
    <t>06 79 66 09 74</t>
  </si>
  <si>
    <t>Madame rodieres</t>
  </si>
  <si>
    <t>henri.rodiere@wanadoo.fr</t>
  </si>
  <si>
    <t>10 rue eugene de gardilanne 40100 DAX</t>
  </si>
  <si>
    <t>24/26 avril / 4 mai 2023</t>
  </si>
  <si>
    <t>Madame Gadrat</t>
  </si>
  <si>
    <t>Madame Du Portal</t>
  </si>
  <si>
    <t>Unafam</t>
  </si>
  <si>
    <t>Gilles saint martin</t>
  </si>
  <si>
    <t>lundi 12 juin 11h</t>
  </si>
  <si>
    <t>Marie Larramendy</t>
  </si>
  <si>
    <t>vendredi 21 juillet 15h</t>
  </si>
  <si>
    <t>Catherine Haurat</t>
  </si>
  <si>
    <t>Association des Amis de l'Église St Pierre d'Arsague</t>
  </si>
  <si>
    <t>ville st sever 15h30</t>
  </si>
  <si>
    <t>V</t>
  </si>
  <si>
    <t>Dubrana Huguette</t>
  </si>
  <si>
    <t>06 88 38 12 61</t>
  </si>
  <si>
    <t>mammy.cool@hotmail.fr</t>
  </si>
  <si>
    <t>Senior et alors?</t>
  </si>
  <si>
    <t>CCAS de Pau</t>
  </si>
  <si>
    <t>06 42 34 69 42</t>
  </si>
  <si>
    <t>Ghislaine</t>
  </si>
  <si>
    <t xml:space="preserve">vendredi 13 octobre </t>
  </si>
  <si>
    <t>mardi 13 juin 10h30</t>
  </si>
  <si>
    <t>initalement ville SS changement car obseques</t>
  </si>
  <si>
    <t>College de Saint-Sever</t>
  </si>
  <si>
    <t>Magalie  Castay</t>
  </si>
  <si>
    <t>mardi 13 juin 14h15</t>
  </si>
  <si>
    <t>mardi 13 juin 15h</t>
  </si>
  <si>
    <t>vendredi 16 juin 11h</t>
  </si>
  <si>
    <t xml:space="preserve"> abbatiale</t>
  </si>
  <si>
    <t>jeudi 22 juin 10h15</t>
  </si>
  <si>
    <t>jeudi 22 juin 11h</t>
  </si>
  <si>
    <t>Jennifer Griffe</t>
  </si>
  <si>
    <t>vendredi 23 juin 11h</t>
  </si>
  <si>
    <t>magaliecastay@gmail.com</t>
  </si>
  <si>
    <t>jennifer.griffe@gmail.com</t>
  </si>
  <si>
    <t>Marie Laure Roumy</t>
  </si>
  <si>
    <t>la date va peut etre changer en attente</t>
  </si>
  <si>
    <t>06 10 50 68 13</t>
  </si>
  <si>
    <t>CCAS de Martignas</t>
  </si>
  <si>
    <t>Ville SS</t>
  </si>
  <si>
    <t>afstaquitaine@gmail.com</t>
  </si>
  <si>
    <t>ville amou</t>
  </si>
  <si>
    <t>blanchereau</t>
  </si>
  <si>
    <t>mercredi 5 juillet 15h</t>
  </si>
  <si>
    <t>Thermes de l'avenue</t>
  </si>
  <si>
    <t>Patrica</t>
  </si>
  <si>
    <t>info@thermes-avenue.com</t>
  </si>
  <si>
    <t>05 58 56 35 00</t>
  </si>
  <si>
    <t>annulation de la part du client faute reservation</t>
  </si>
  <si>
    <t>vendredi 28 juillet 14h</t>
  </si>
  <si>
    <t>Ville de Morlaas</t>
  </si>
  <si>
    <t>samedi 23 septembre  16h</t>
  </si>
  <si>
    <t>ville SS et musee</t>
  </si>
  <si>
    <t>mardi 19 septembre 10h15-11h45</t>
  </si>
  <si>
    <t>AFST aquitaine</t>
  </si>
  <si>
    <t>06 86 26 34 55</t>
  </si>
  <si>
    <t>jeudi 5 octobre 10h30</t>
  </si>
  <si>
    <t>DIZabeau</t>
  </si>
  <si>
    <t>06 32 82 94 64</t>
  </si>
  <si>
    <t>asso coursayre des arrigans</t>
  </si>
  <si>
    <t>jeudi 5 octobre 14h30</t>
  </si>
  <si>
    <t>blondy</t>
  </si>
  <si>
    <t>Culture Loisirs Arésiens</t>
  </si>
  <si>
    <t>cultureloisirsares@free.fr&gt;</t>
  </si>
  <si>
    <t>Mme Prugue</t>
  </si>
  <si>
    <t> 890 route Marcotte Capsus 64530 Ger</t>
  </si>
  <si>
    <t>instants partagé</t>
  </si>
  <si>
    <t>annick lero</t>
  </si>
  <si>
    <t xml:space="preserve">mardi 10 octobre </t>
  </si>
  <si>
    <t>ville SS , art des mets , brassempouy</t>
  </si>
  <si>
    <t>samedi 9 septembre</t>
  </si>
  <si>
    <t>patriciaprugue@orange,fr</t>
  </si>
  <si>
    <t>abbatiale SS 2 fois 1h / art des mets / musée de la faience</t>
  </si>
  <si>
    <t>Club Soleil d'Automne d'Auros</t>
  </si>
  <si>
    <t>regine.arquey@orange.fr</t>
  </si>
  <si>
    <t>07 80 06 94 68</t>
  </si>
  <si>
    <t>06 77 90 23 10</t>
  </si>
  <si>
    <t>journée coursayre a pomarez géree par asso ?</t>
  </si>
  <si>
    <t xml:space="preserve">bistroquet / brassempouy </t>
  </si>
  <si>
    <t>annick.lero@yahoo.fr</t>
  </si>
  <si>
    <t>visite flash abbatiale 30 min</t>
  </si>
  <si>
    <t>mercredi 15 novembre 2023</t>
  </si>
  <si>
    <t>06 31 95 85 63</t>
  </si>
  <si>
    <t>Mme arquey</t>
  </si>
  <si>
    <t>4,50 ou 5,50 ( 1 ou 2 guide)</t>
  </si>
  <si>
    <t>sylvie.halty@laposte.net</t>
  </si>
  <si>
    <t>anciens hospitaliers ANHR</t>
  </si>
  <si>
    <t>mme Baudot</t>
  </si>
  <si>
    <t>06 60 38 02 08</t>
  </si>
  <si>
    <t>musee SS / abbatiale</t>
  </si>
  <si>
    <t>mme gauthier</t>
  </si>
  <si>
    <t>ma.gauthier40@free.fr</t>
  </si>
  <si>
    <t>06 58 68 31 02</t>
  </si>
  <si>
    <t>sept : octobre 2023</t>
  </si>
  <si>
    <t>40</t>
  </si>
  <si>
    <t>06 42 84 21 88</t>
  </si>
  <si>
    <t>VVF moliets</t>
  </si>
  <si>
    <t>jeudi 7 septembre 14h30</t>
  </si>
  <si>
    <t>visite saint sever</t>
  </si>
  <si>
    <t>Apat pomarez</t>
  </si>
  <si>
    <t>Mr mezzavilla</t>
  </si>
  <si>
    <t>dimanche1 octobre</t>
  </si>
  <si>
    <t>pauline ou romane</t>
  </si>
  <si>
    <t>Josy descazeaux</t>
  </si>
  <si>
    <t>06 36 87 32 72</t>
  </si>
  <si>
    <t>josydescazeaux31@gmail.com</t>
  </si>
  <si>
    <t>ATSCAF USCB</t>
  </si>
  <si>
    <t>trop cher / pas le temps</t>
  </si>
  <si>
    <t>annualtion cause canicule</t>
  </si>
  <si>
    <t>mercredi 27 septembre 10h30</t>
  </si>
  <si>
    <t>ville SS / brassempouy</t>
  </si>
  <si>
    <t>mercredi 20 septembre 10h30</t>
  </si>
  <si>
    <t>ASSA</t>
  </si>
  <si>
    <t>ASSA association sportive, socio-culturelle des seniors Anglet </t>
  </si>
  <si>
    <t>ne souhaitent finalement plus de visites</t>
  </si>
  <si>
    <t>Voyages Petrolli</t>
  </si>
  <si>
    <t>marcelmezzavilla@orangefr</t>
  </si>
  <si>
    <t>journee SS ( ville / musee) / art des mets</t>
  </si>
  <si>
    <t>musee SS / abbatiale / art des mets</t>
  </si>
  <si>
    <t>Oloron accueil</t>
  </si>
  <si>
    <t>Sylvie Halty</t>
  </si>
  <si>
    <t xml:space="preserve">06 71 21 32 11 </t>
  </si>
  <si>
    <t>vendredi 10 novembre 10h30</t>
  </si>
  <si>
    <t xml:space="preserve">samedi 18 novembre </t>
  </si>
  <si>
    <t>jeudi 18 avril 2024</t>
  </si>
  <si>
    <t>20-40</t>
  </si>
  <si>
    <t>domiquebaudot9@gmail.com</t>
  </si>
  <si>
    <t>lundi 25 septembre 2023 11h</t>
  </si>
  <si>
    <t>flash abbatiale</t>
  </si>
  <si>
    <t>06 50 28 11 00</t>
  </si>
  <si>
    <t>hopital st sever (fauteuils)</t>
  </si>
  <si>
    <t>cacochemlel@free.fr</t>
  </si>
  <si>
    <t>mardi 26 septembre 2023 10h</t>
  </si>
  <si>
    <t>visite ville SS</t>
  </si>
  <si>
    <t>art et vie mimizan</t>
  </si>
  <si>
    <t>06 13 88 39 30</t>
  </si>
  <si>
    <t>jacqueline sourgen</t>
  </si>
  <si>
    <t>CB et CH</t>
  </si>
  <si>
    <t>pas assez de participants</t>
  </si>
  <si>
    <t>reservation puis annulation faute de participants</t>
  </si>
  <si>
    <t>annulation faute de participants</t>
  </si>
  <si>
    <t>06 61 74 67 77</t>
  </si>
  <si>
    <t>gilbert.vedere@orange.fr</t>
  </si>
  <si>
    <t>musee SS /sentex</t>
  </si>
  <si>
    <t>mardi 19 septembre 14hà 16h</t>
  </si>
  <si>
    <t>viajes</t>
  </si>
  <si>
    <t>sandrine.sourigues@ch-saint-sever.fr / animation@ch-st-sever.fr</t>
  </si>
  <si>
    <t>gaujacq pas possible / sans suite après relance</t>
  </si>
  <si>
    <t>contact claire moutengou</t>
  </si>
  <si>
    <t>0656891570 (claire)</t>
  </si>
  <si>
    <t>06 74 72 57 78</t>
  </si>
  <si>
    <t>g.russo@orange.fr</t>
  </si>
  <si>
    <t>russo gaetan</t>
  </si>
  <si>
    <t>06 40 64 34 10</t>
  </si>
  <si>
    <t>17/10/2023 15h-17h</t>
  </si>
  <si>
    <t xml:space="preserve">sentex (moitry) et musee </t>
  </si>
  <si>
    <t>samedi 14 octobre matin</t>
  </si>
  <si>
    <t>voyages tpo</t>
  </si>
  <si>
    <t>voyages@autocars-tpo.com</t>
  </si>
  <si>
    <t>4 rue jean Bascouret 64290 LASSEUBE</t>
  </si>
  <si>
    <t>nous recontactera pour novembre 2023</t>
  </si>
  <si>
    <t>NC</t>
  </si>
  <si>
    <t>M Dassié</t>
  </si>
  <si>
    <t>bm.dassie@orange.fr</t>
  </si>
  <si>
    <t>mardi 17 octobre 11h</t>
  </si>
  <si>
    <t>Collège de Saint-Sever</t>
  </si>
  <si>
    <t>juin 2023</t>
  </si>
  <si>
    <t>21 juillet 2023</t>
  </si>
  <si>
    <t>28 juillet 2023</t>
  </si>
  <si>
    <t>6 septembre 2023</t>
  </si>
  <si>
    <t>5 septembre 2023</t>
  </si>
  <si>
    <t>7 septembre 2023</t>
  </si>
  <si>
    <t>19 septembre 2023</t>
  </si>
  <si>
    <t>mairie SS</t>
  </si>
  <si>
    <t>27/09/2023 et 20 septembre 2023</t>
  </si>
  <si>
    <t>ch</t>
  </si>
  <si>
    <t>CCAS PAU</t>
  </si>
  <si>
    <t>mardi 13 février 2024</t>
  </si>
  <si>
    <t>cave geaune / art des mets / ville SS</t>
  </si>
  <si>
    <t>Jocou Chantale</t>
  </si>
  <si>
    <t>06 11 42 10 35</t>
  </si>
  <si>
    <t>Association autour de l'art</t>
  </si>
  <si>
    <t>La traction universelle</t>
  </si>
  <si>
    <t>samedi 9 décembre</t>
  </si>
  <si>
    <t>Gilbert Vedere</t>
  </si>
  <si>
    <t>05 59 04 22 20</t>
  </si>
  <si>
    <t>virement 17 juillet 2023</t>
  </si>
  <si>
    <t>RECU 23 juin 2023</t>
  </si>
  <si>
    <t>envoyé à virginie</t>
  </si>
  <si>
    <t>Monsieur Dassié</t>
  </si>
  <si>
    <t>N°facture client my exco</t>
  </si>
  <si>
    <t>F2023-0001</t>
  </si>
  <si>
    <t>F2023-0006</t>
  </si>
  <si>
    <t>F2023-0008</t>
  </si>
  <si>
    <t>F2023-0009</t>
  </si>
  <si>
    <t>F2023-0015</t>
  </si>
  <si>
    <t>F2023-0018</t>
  </si>
  <si>
    <t>F2023-0019</t>
  </si>
  <si>
    <t>pas de facture gratuité</t>
  </si>
  <si>
    <t>F2023-0029</t>
  </si>
  <si>
    <t>F2023-0030</t>
  </si>
  <si>
    <t>F2023-0031</t>
  </si>
  <si>
    <t>F2023-0038 / F2023-0039</t>
  </si>
  <si>
    <t>F2023-0023</t>
  </si>
  <si>
    <t>F2023-0034 / F2023-0035</t>
  </si>
  <si>
    <t>F2023-0047</t>
  </si>
  <si>
    <t>F2023-0041</t>
  </si>
  <si>
    <t>F2023-0082</t>
  </si>
  <si>
    <t xml:space="preserve">F2023-0042  /   F2023-0043 </t>
  </si>
  <si>
    <t>F2023-0044  /   F2023-0045</t>
  </si>
  <si>
    <t>F2023-0057</t>
  </si>
  <si>
    <t>F2023-0048</t>
  </si>
  <si>
    <t>F2023-0049</t>
  </si>
  <si>
    <t>F2023-0056</t>
  </si>
  <si>
    <t>F2023-0062</t>
  </si>
  <si>
    <t>F2023-0066</t>
  </si>
  <si>
    <t>F2023-0073</t>
  </si>
  <si>
    <t>F2023-0074</t>
  </si>
  <si>
    <t>F2023-0075</t>
  </si>
  <si>
    <t>F2023-0079</t>
  </si>
  <si>
    <t>F2023-0077</t>
  </si>
  <si>
    <t>F2023-0087 / F2023-0080</t>
  </si>
  <si>
    <t>F2023-0088</t>
  </si>
  <si>
    <t>F2023-0083</t>
  </si>
  <si>
    <t>F2023-0086</t>
  </si>
  <si>
    <t>F2023-0089</t>
  </si>
  <si>
    <t>F2023-0090</t>
  </si>
  <si>
    <t>ch / cb</t>
  </si>
  <si>
    <t>Asso les parachutistes d'essai</t>
  </si>
  <si>
    <t>06 30 97 31 19</t>
  </si>
  <si>
    <t>Le cocq joel</t>
  </si>
  <si>
    <t>lecocqjoel@gmail.com</t>
  </si>
  <si>
    <t>cœur de ville + clocher</t>
  </si>
  <si>
    <t>15-25</t>
  </si>
  <si>
    <t>28 septembre 2024 à 15h</t>
  </si>
  <si>
    <t>lion's club</t>
  </si>
  <si>
    <t xml:space="preserve">dimanche 5 novembre </t>
  </si>
  <si>
    <t>isabelle.puyau@gmail.com</t>
  </si>
  <si>
    <t>RECU le 20 octobre 2023</t>
  </si>
  <si>
    <t>Recu le 20 octobre 2023</t>
  </si>
  <si>
    <t>Mme Arnaud</t>
  </si>
  <si>
    <t>Les amitiés st médardaises</t>
  </si>
  <si>
    <t>06 25 45 25 28</t>
  </si>
  <si>
    <t>secretariatasm@gmail.com</t>
  </si>
  <si>
    <t>jjmparnaud@orange.fr</t>
  </si>
  <si>
    <t>resto, samadet, ss</t>
  </si>
  <si>
    <t>Chloé campagne</t>
  </si>
  <si>
    <t>Chloe.CAMPAGNE@reside-etudes.fr</t>
  </si>
  <si>
    <t>jeudi 23 novembre 14h</t>
  </si>
  <si>
    <t xml:space="preserve"> 16  février 2023</t>
  </si>
  <si>
    <t>mardi 21 novembre 10-12h30</t>
  </si>
  <si>
    <t>abbatiale / partie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</si>
</sst>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[$-F800]dddd\,\ mmmm\ dd\,\ yyyy"/>
    <numFmt numFmtId="166" formatCode="#,##0.00\ &quot;€&quot;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212121"/>
      <name val="Times New Roman"/>
      <family val="1"/>
    </font>
    <font>
      <sz val="10"/>
      <color rgb="FF000000"/>
      <name val="Calibri"/>
      <family val="2"/>
      <scheme val="minor"/>
    </font>
    <font>
      <sz val="10"/>
      <color rgb="FF333333"/>
      <name val="Segoe UI"/>
      <family val="2"/>
    </font>
    <font>
      <sz val="12"/>
      <color rgb="FF333333"/>
      <name val="Segoe U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rgb="FF212121"/>
      <name val="Segoe UI"/>
      <family val="2"/>
    </font>
    <font>
      <sz val="8"/>
      <color rgb="FF212121"/>
      <name val="Segoe UI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gray0625">
        <bgColor theme="7" tint="0.79998168889431442"/>
      </patternFill>
    </fill>
    <fill>
      <patternFill patternType="gray0625">
        <bgColor theme="7" tint="0.59999389629810485"/>
      </patternFill>
    </fill>
    <fill>
      <patternFill patternType="gray0625">
        <bgColor theme="8" tint="0.59999389629810485"/>
      </patternFill>
    </fill>
    <fill>
      <patternFill patternType="gray0625">
        <bgColor theme="9" tint="0.59999389629810485"/>
      </patternFill>
    </fill>
    <fill>
      <patternFill patternType="gray0625"/>
    </fill>
    <fill>
      <patternFill patternType="solid">
        <fgColor theme="7" tint="0.79995117038483843"/>
        <bgColor indexed="64"/>
      </patternFill>
    </fill>
    <fill>
      <patternFill patternType="gray125">
        <bgColor theme="9" tint="0.59999389629810485"/>
      </patternFill>
    </fill>
    <fill>
      <patternFill patternType="solid">
        <fgColor rgb="FFFF0000"/>
        <bgColor indexed="64"/>
      </patternFill>
    </fill>
    <fill>
      <patternFill patternType="gray0625">
        <bgColor rgb="FFFF0000"/>
      </patternFill>
    </fill>
    <fill>
      <patternFill patternType="solid">
        <fgColor rgb="FFFFC000"/>
        <bgColor indexed="64"/>
      </patternFill>
    </fill>
    <fill>
      <patternFill patternType="gray0625">
        <bgColor rgb="FFFFC000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4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center" vertical="center"/>
    </xf>
    <xf numFmtId="0" fontId="1" fillId="20" borderId="9" xfId="0" applyFont="1" applyFill="1" applyBorder="1" applyAlignment="1">
      <alignment horizontal="center" vertical="center"/>
    </xf>
    <xf numFmtId="44" fontId="0" fillId="4" borderId="1" xfId="0" applyNumberForma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/>
    </xf>
    <xf numFmtId="0" fontId="1" fillId="21" borderId="1" xfId="0" applyFont="1" applyFill="1" applyBorder="1"/>
    <xf numFmtId="0" fontId="1" fillId="0" borderId="0" xfId="0" applyFont="1"/>
    <xf numFmtId="0" fontId="1" fillId="0" borderId="0" xfId="0" applyFont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44" fontId="0" fillId="3" borderId="10" xfId="0" applyNumberFormat="1" applyFill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44" fontId="0" fillId="4" borderId="25" xfId="0" applyNumberFormat="1" applyFill="1" applyBorder="1" applyAlignment="1">
      <alignment horizontal="left" vertical="top"/>
    </xf>
    <xf numFmtId="16" fontId="0" fillId="0" borderId="2" xfId="0" applyNumberForma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44" fontId="0" fillId="3" borderId="11" xfId="0" applyNumberFormat="1" applyFill="1" applyBorder="1" applyAlignment="1">
      <alignment horizontal="left" vertical="top"/>
    </xf>
    <xf numFmtId="44" fontId="0" fillId="4" borderId="26" xfId="0" applyNumberFormat="1" applyFill="1" applyBorder="1" applyAlignment="1">
      <alignment horizontal="left" vertical="top"/>
    </xf>
    <xf numFmtId="0" fontId="0" fillId="0" borderId="0" xfId="0" applyAlignment="1">
      <alignment wrapText="1"/>
    </xf>
    <xf numFmtId="44" fontId="0" fillId="0" borderId="0" xfId="0" applyNumberFormat="1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3" fillId="0" borderId="0" xfId="1" applyFill="1" applyBorder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4" fontId="0" fillId="0" borderId="0" xfId="0" applyNumberFormat="1"/>
    <xf numFmtId="14" fontId="0" fillId="0" borderId="1" xfId="0" applyNumberFormat="1" applyBorder="1" applyAlignment="1">
      <alignment horizontal="center" vertical="center"/>
    </xf>
    <xf numFmtId="44" fontId="0" fillId="3" borderId="1" xfId="0" applyNumberForma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66" fontId="0" fillId="3" borderId="10" xfId="0" applyNumberFormat="1" applyFill="1" applyBorder="1" applyAlignment="1">
      <alignment horizontal="center" vertical="center"/>
    </xf>
    <xf numFmtId="166" fontId="0" fillId="4" borderId="1" xfId="0" applyNumberFormat="1" applyFill="1" applyBorder="1" applyAlignment="1">
      <alignment horizontal="center" vertical="center"/>
    </xf>
    <xf numFmtId="166" fontId="0" fillId="6" borderId="1" xfId="0" applyNumberFormat="1" applyFill="1" applyBorder="1" applyAlignment="1">
      <alignment horizontal="center" vertical="center"/>
    </xf>
    <xf numFmtId="166" fontId="0" fillId="7" borderId="1" xfId="0" applyNumberFormat="1" applyFill="1" applyBorder="1" applyAlignment="1">
      <alignment horizontal="center" vertical="center"/>
    </xf>
    <xf numFmtId="166" fontId="0" fillId="11" borderId="1" xfId="0" applyNumberFormat="1" applyFill="1" applyBorder="1" applyAlignment="1">
      <alignment horizontal="center" vertical="center"/>
    </xf>
    <xf numFmtId="166" fontId="0" fillId="10" borderId="1" xfId="0" applyNumberFormat="1" applyFill="1" applyBorder="1" applyAlignment="1">
      <alignment horizontal="center" vertical="center"/>
    </xf>
    <xf numFmtId="166" fontId="0" fillId="23" borderId="1" xfId="0" applyNumberFormat="1" applyFill="1" applyBorder="1" applyAlignment="1">
      <alignment horizontal="center" vertical="center"/>
    </xf>
    <xf numFmtId="166" fontId="0" fillId="24" borderId="1" xfId="0" applyNumberFormat="1" applyFill="1" applyBorder="1" applyAlignment="1">
      <alignment horizontal="center" vertical="center"/>
    </xf>
    <xf numFmtId="166" fontId="0" fillId="25" borderId="1" xfId="0" applyNumberFormat="1" applyFill="1" applyBorder="1" applyAlignment="1">
      <alignment horizontal="center" vertical="center"/>
    </xf>
    <xf numFmtId="166" fontId="0" fillId="26" borderId="9" xfId="0" applyNumberFormat="1" applyFill="1" applyBorder="1" applyAlignment="1">
      <alignment horizontal="center" vertical="center"/>
    </xf>
    <xf numFmtId="166" fontId="0" fillId="13" borderId="1" xfId="0" applyNumberFormat="1" applyFill="1" applyBorder="1" applyAlignment="1">
      <alignment horizontal="center" vertical="center"/>
    </xf>
    <xf numFmtId="166" fontId="0" fillId="14" borderId="1" xfId="0" applyNumberFormat="1" applyFill="1" applyBorder="1" applyAlignment="1">
      <alignment horizontal="center" vertical="center"/>
    </xf>
    <xf numFmtId="166" fontId="0" fillId="17" borderId="1" xfId="0" applyNumberFormat="1" applyFill="1" applyBorder="1" applyAlignment="1">
      <alignment horizontal="center" vertical="center"/>
    </xf>
    <xf numFmtId="166" fontId="0" fillId="3" borderId="27" xfId="0" applyNumberFormat="1" applyFill="1" applyBorder="1" applyAlignment="1">
      <alignment horizontal="center" vertical="center"/>
    </xf>
    <xf numFmtId="166" fontId="0" fillId="4" borderId="28" xfId="0" applyNumberFormat="1" applyFill="1" applyBorder="1" applyAlignment="1">
      <alignment horizontal="center" vertical="center"/>
    </xf>
    <xf numFmtId="166" fontId="0" fillId="6" borderId="28" xfId="0" applyNumberFormat="1" applyFill="1" applyBorder="1" applyAlignment="1">
      <alignment horizontal="center" vertical="center"/>
    </xf>
    <xf numFmtId="166" fontId="0" fillId="7" borderId="28" xfId="0" applyNumberFormat="1" applyFill="1" applyBorder="1" applyAlignment="1">
      <alignment horizontal="center" vertical="center"/>
    </xf>
    <xf numFmtId="166" fontId="0" fillId="11" borderId="28" xfId="0" applyNumberFormat="1" applyFill="1" applyBorder="1" applyAlignment="1">
      <alignment horizontal="center" vertical="center"/>
    </xf>
    <xf numFmtId="166" fontId="0" fillId="10" borderId="28" xfId="0" applyNumberFormat="1" applyFill="1" applyBorder="1" applyAlignment="1">
      <alignment horizontal="center" vertical="center"/>
    </xf>
    <xf numFmtId="166" fontId="0" fillId="13" borderId="28" xfId="0" applyNumberFormat="1" applyFill="1" applyBorder="1" applyAlignment="1">
      <alignment horizontal="center" vertical="center"/>
    </xf>
    <xf numFmtId="166" fontId="0" fillId="14" borderId="28" xfId="0" applyNumberFormat="1" applyFill="1" applyBorder="1" applyAlignment="1">
      <alignment horizontal="center" vertical="center"/>
    </xf>
    <xf numFmtId="166" fontId="0" fillId="17" borderId="28" xfId="0" applyNumberFormat="1" applyFill="1" applyBorder="1" applyAlignment="1">
      <alignment horizontal="center" vertical="center"/>
    </xf>
    <xf numFmtId="166" fontId="0" fillId="20" borderId="29" xfId="0" applyNumberFormat="1" applyFill="1" applyBorder="1" applyAlignment="1">
      <alignment horizontal="center" vertical="center"/>
    </xf>
    <xf numFmtId="0" fontId="0" fillId="0" borderId="28" xfId="0" applyBorder="1"/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20" borderId="10" xfId="0" applyFill="1" applyBorder="1" applyAlignment="1">
      <alignment horizontal="center" vertical="center"/>
    </xf>
    <xf numFmtId="0" fontId="0" fillId="20" borderId="1" xfId="0" applyFill="1" applyBorder="1" applyAlignment="1">
      <alignment horizontal="center" vertical="center"/>
    </xf>
    <xf numFmtId="0" fontId="0" fillId="20" borderId="9" xfId="0" applyFill="1" applyBorder="1" applyAlignment="1">
      <alignment horizontal="center" vertical="center"/>
    </xf>
    <xf numFmtId="0" fontId="0" fillId="20" borderId="1" xfId="0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/>
    </xf>
    <xf numFmtId="0" fontId="0" fillId="20" borderId="25" xfId="0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6" fontId="0" fillId="23" borderId="28" xfId="0" applyNumberFormat="1" applyFill="1" applyBorder="1" applyAlignment="1">
      <alignment horizontal="center" vertical="center"/>
    </xf>
    <xf numFmtId="166" fontId="0" fillId="24" borderId="28" xfId="0" applyNumberFormat="1" applyFill="1" applyBorder="1" applyAlignment="1">
      <alignment horizontal="center" vertical="center"/>
    </xf>
    <xf numFmtId="166" fontId="0" fillId="25" borderId="28" xfId="0" applyNumberFormat="1" applyFill="1" applyBorder="1" applyAlignment="1">
      <alignment horizontal="center" vertical="center"/>
    </xf>
    <xf numFmtId="166" fontId="0" fillId="26" borderId="29" xfId="0" applyNumberForma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0" borderId="12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 wrapText="1"/>
    </xf>
    <xf numFmtId="0" fontId="1" fillId="18" borderId="22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0" borderId="2" xfId="0" applyFill="1" applyBorder="1" applyAlignment="1">
      <alignment horizontal="center" vertical="center" wrapText="1"/>
    </xf>
    <xf numFmtId="0" fontId="0" fillId="20" borderId="9" xfId="0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66" fontId="0" fillId="28" borderId="28" xfId="0" applyNumberFormat="1" applyFill="1" applyBorder="1" applyAlignment="1">
      <alignment horizontal="center" vertical="center"/>
    </xf>
    <xf numFmtId="166" fontId="0" fillId="28" borderId="1" xfId="0" applyNumberForma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0" fillId="20" borderId="25" xfId="0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center" vertical="center" wrapText="1"/>
    </xf>
    <xf numFmtId="0" fontId="1" fillId="4" borderId="4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165" fontId="0" fillId="0" borderId="31" xfId="0" applyNumberFormat="1" applyBorder="1" applyAlignment="1">
      <alignment horizontal="center" vertical="center"/>
    </xf>
    <xf numFmtId="44" fontId="0" fillId="0" borderId="31" xfId="0" applyNumberFormat="1" applyBorder="1" applyAlignment="1">
      <alignment horizontal="center" vertical="center"/>
    </xf>
    <xf numFmtId="0" fontId="0" fillId="0" borderId="43" xfId="0" applyBorder="1"/>
    <xf numFmtId="44" fontId="0" fillId="0" borderId="14" xfId="0" applyNumberFormat="1" applyBorder="1" applyAlignment="1">
      <alignment horizontal="center" vertical="center"/>
    </xf>
    <xf numFmtId="15" fontId="0" fillId="0" borderId="46" xfId="0" applyNumberFormat="1" applyBorder="1"/>
    <xf numFmtId="15" fontId="0" fillId="0" borderId="9" xfId="0" applyNumberFormat="1" applyBorder="1"/>
    <xf numFmtId="0" fontId="0" fillId="0" borderId="13" xfId="0" applyBorder="1"/>
    <xf numFmtId="0" fontId="0" fillId="0" borderId="46" xfId="0" applyBorder="1"/>
    <xf numFmtId="0" fontId="0" fillId="0" borderId="12" xfId="0" applyBorder="1"/>
    <xf numFmtId="0" fontId="0" fillId="0" borderId="14" xfId="0" applyBorder="1"/>
    <xf numFmtId="0" fontId="0" fillId="0" borderId="9" xfId="0" applyBorder="1"/>
    <xf numFmtId="0" fontId="0" fillId="0" borderId="31" xfId="0" applyBorder="1" applyAlignment="1">
      <alignment horizontal="center"/>
    </xf>
    <xf numFmtId="0" fontId="0" fillId="0" borderId="31" xfId="0" applyBorder="1"/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3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/>
    <xf numFmtId="165" fontId="0" fillId="0" borderId="14" xfId="0" applyNumberFormat="1" applyBorder="1"/>
    <xf numFmtId="165" fontId="0" fillId="0" borderId="12" xfId="0" applyNumberFormat="1" applyBorder="1"/>
    <xf numFmtId="165" fontId="0" fillId="0" borderId="12" xfId="0" applyNumberFormat="1" applyBorder="1" applyAlignment="1">
      <alignment horizontal="center" vertical="center"/>
    </xf>
    <xf numFmtId="165" fontId="0" fillId="0" borderId="31" xfId="0" applyNumberFormat="1" applyBorder="1"/>
    <xf numFmtId="15" fontId="0" fillId="0" borderId="43" xfId="0" applyNumberFormat="1" applyBorder="1" applyAlignment="1">
      <alignment horizontal="left" vertical="center"/>
    </xf>
    <xf numFmtId="166" fontId="1" fillId="0" borderId="0" xfId="0" applyNumberFormat="1" applyFont="1" applyAlignment="1">
      <alignment horizontal="center" vertical="center"/>
    </xf>
    <xf numFmtId="14" fontId="0" fillId="20" borderId="2" xfId="0" applyNumberFormat="1" applyFill="1" applyBorder="1" applyAlignment="1">
      <alignment horizontal="center" vertical="center" wrapText="1"/>
    </xf>
    <xf numFmtId="0" fontId="4" fillId="20" borderId="2" xfId="0" applyFont="1" applyFill="1" applyBorder="1" applyAlignment="1">
      <alignment horizontal="center" vertical="center"/>
    </xf>
    <xf numFmtId="165" fontId="4" fillId="20" borderId="2" xfId="0" applyNumberFormat="1" applyFont="1" applyFill="1" applyBorder="1" applyAlignment="1">
      <alignment horizontal="center" vertical="center"/>
    </xf>
    <xf numFmtId="0" fontId="0" fillId="22" borderId="32" xfId="0" applyFill="1" applyBorder="1" applyAlignment="1">
      <alignment horizontal="center" vertical="center"/>
    </xf>
    <xf numFmtId="0" fontId="0" fillId="22" borderId="39" xfId="0" applyFill="1" applyBorder="1" applyAlignment="1">
      <alignment horizontal="center" vertical="center"/>
    </xf>
    <xf numFmtId="0" fontId="1" fillId="22" borderId="39" xfId="0" applyFont="1" applyFill="1" applyBorder="1" applyAlignment="1">
      <alignment horizontal="center" vertical="center"/>
    </xf>
    <xf numFmtId="166" fontId="1" fillId="22" borderId="39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166" fontId="0" fillId="20" borderId="1" xfId="0" applyNumberFormat="1" applyFill="1" applyBorder="1" applyAlignment="1">
      <alignment horizontal="center" vertical="center"/>
    </xf>
    <xf numFmtId="166" fontId="0" fillId="29" borderId="1" xfId="0" applyNumberFormat="1" applyFill="1" applyBorder="1" applyAlignment="1">
      <alignment horizontal="center" vertical="center"/>
    </xf>
    <xf numFmtId="166" fontId="0" fillId="20" borderId="9" xfId="0" applyNumberFormat="1" applyFill="1" applyBorder="1" applyAlignment="1">
      <alignment horizontal="center" vertical="center"/>
    </xf>
    <xf numFmtId="166" fontId="0" fillId="3" borderId="2" xfId="0" applyNumberFormat="1" applyFill="1" applyBorder="1" applyAlignment="1">
      <alignment horizontal="center" vertical="center"/>
    </xf>
    <xf numFmtId="8" fontId="12" fillId="0" borderId="0" xfId="0" applyNumberFormat="1" applyFont="1" applyAlignment="1">
      <alignment horizontal="center" vertical="center"/>
    </xf>
    <xf numFmtId="0" fontId="3" fillId="20" borderId="1" xfId="1" applyFill="1" applyBorder="1" applyAlignment="1">
      <alignment horizontal="center" vertical="center"/>
    </xf>
    <xf numFmtId="165" fontId="4" fillId="20" borderId="10" xfId="0" applyNumberFormat="1" applyFont="1" applyFill="1" applyBorder="1" applyAlignment="1">
      <alignment horizontal="center" vertical="center"/>
    </xf>
    <xf numFmtId="0" fontId="0" fillId="20" borderId="2" xfId="0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8" fillId="30" borderId="3" xfId="0" applyFont="1" applyFill="1" applyBorder="1" applyAlignment="1">
      <alignment horizontal="center" vertical="center" wrapText="1"/>
    </xf>
    <xf numFmtId="0" fontId="0" fillId="30" borderId="3" xfId="0" applyFill="1" applyBorder="1" applyAlignment="1">
      <alignment horizontal="center"/>
    </xf>
    <xf numFmtId="0" fontId="0" fillId="30" borderId="4" xfId="0" applyFill="1" applyBorder="1"/>
    <xf numFmtId="0" fontId="0" fillId="30" borderId="1" xfId="0" applyFill="1" applyBorder="1"/>
    <xf numFmtId="0" fontId="0" fillId="30" borderId="3" xfId="0" applyFill="1" applyBorder="1" applyAlignment="1">
      <alignment horizontal="center" vertical="center"/>
    </xf>
    <xf numFmtId="49" fontId="0" fillId="30" borderId="3" xfId="0" applyNumberFormat="1" applyFill="1" applyBorder="1" applyAlignment="1">
      <alignment horizontal="center" vertical="center"/>
    </xf>
    <xf numFmtId="0" fontId="0" fillId="30" borderId="3" xfId="0" applyFill="1" applyBorder="1" applyAlignment="1">
      <alignment horizontal="center" vertical="center" wrapText="1"/>
    </xf>
    <xf numFmtId="14" fontId="0" fillId="30" borderId="3" xfId="0" applyNumberFormat="1" applyFill="1" applyBorder="1" applyAlignment="1">
      <alignment horizontal="center" vertical="center"/>
    </xf>
    <xf numFmtId="0" fontId="0" fillId="30" borderId="1" xfId="0" applyFill="1" applyBorder="1" applyAlignment="1">
      <alignment horizontal="center" vertical="center"/>
    </xf>
    <xf numFmtId="44" fontId="0" fillId="30" borderId="1" xfId="0" applyNumberFormat="1" applyFill="1" applyBorder="1" applyAlignment="1">
      <alignment horizontal="center" vertical="center"/>
    </xf>
    <xf numFmtId="164" fontId="0" fillId="30" borderId="1" xfId="0" applyNumberFormat="1" applyFill="1" applyBorder="1" applyAlignment="1">
      <alignment horizontal="center" vertical="center"/>
    </xf>
    <xf numFmtId="164" fontId="0" fillId="31" borderId="1" xfId="0" applyNumberFormat="1" applyFill="1" applyBorder="1" applyAlignment="1">
      <alignment horizontal="center" vertical="center"/>
    </xf>
    <xf numFmtId="165" fontId="4" fillId="20" borderId="2" xfId="0" applyNumberFormat="1" applyFont="1" applyFill="1" applyBorder="1" applyAlignment="1">
      <alignment horizontal="center" vertical="center" wrapText="1"/>
    </xf>
    <xf numFmtId="0" fontId="0" fillId="30" borderId="1" xfId="0" applyFill="1" applyBorder="1" applyAlignment="1">
      <alignment horizontal="center"/>
    </xf>
    <xf numFmtId="0" fontId="9" fillId="30" borderId="1" xfId="0" applyFont="1" applyFill="1" applyBorder="1" applyAlignment="1">
      <alignment horizontal="center"/>
    </xf>
    <xf numFmtId="0" fontId="0" fillId="30" borderId="0" xfId="0" applyFill="1"/>
    <xf numFmtId="0" fontId="0" fillId="30" borderId="1" xfId="0" applyFill="1" applyBorder="1" applyAlignment="1">
      <alignment horizontal="center" vertical="center" wrapText="1"/>
    </xf>
    <xf numFmtId="14" fontId="0" fillId="30" borderId="1" xfId="0" applyNumberFormat="1" applyFill="1" applyBorder="1" applyAlignment="1">
      <alignment horizontal="center" vertical="center"/>
    </xf>
    <xf numFmtId="0" fontId="8" fillId="30" borderId="1" xfId="0" applyFont="1" applyFill="1" applyBorder="1" applyAlignment="1">
      <alignment horizontal="center" vertical="center" wrapText="1"/>
    </xf>
    <xf numFmtId="49" fontId="0" fillId="30" borderId="1" xfId="0" applyNumberFormat="1" applyFill="1" applyBorder="1" applyAlignment="1">
      <alignment horizontal="center" vertical="center"/>
    </xf>
    <xf numFmtId="164" fontId="0" fillId="31" borderId="33" xfId="0" applyNumberFormat="1" applyFill="1" applyBorder="1" applyAlignment="1">
      <alignment horizontal="center" vertical="center"/>
    </xf>
    <xf numFmtId="165" fontId="4" fillId="30" borderId="1" xfId="0" applyNumberFormat="1" applyFont="1" applyFill="1" applyBorder="1" applyAlignment="1">
      <alignment horizontal="center" vertical="center"/>
    </xf>
    <xf numFmtId="166" fontId="0" fillId="30" borderId="2" xfId="0" applyNumberFormat="1" applyFill="1" applyBorder="1" applyAlignment="1">
      <alignment horizontal="center" vertical="center"/>
    </xf>
    <xf numFmtId="166" fontId="0" fillId="30" borderId="1" xfId="0" applyNumberFormat="1" applyFill="1" applyBorder="1" applyAlignment="1">
      <alignment horizontal="center" vertical="center"/>
    </xf>
    <xf numFmtId="166" fontId="0" fillId="31" borderId="1" xfId="0" applyNumberFormat="1" applyFill="1" applyBorder="1" applyAlignment="1">
      <alignment horizontal="center" vertical="center"/>
    </xf>
    <xf numFmtId="166" fontId="0" fillId="30" borderId="9" xfId="0" applyNumberFormat="1" applyFill="1" applyBorder="1" applyAlignment="1">
      <alignment horizontal="center" vertical="center"/>
    </xf>
    <xf numFmtId="49" fontId="4" fillId="20" borderId="1" xfId="0" applyNumberFormat="1" applyFont="1" applyFill="1" applyBorder="1" applyAlignment="1">
      <alignment horizontal="center" vertical="center"/>
    </xf>
    <xf numFmtId="0" fontId="8" fillId="32" borderId="3" xfId="0" applyFont="1" applyFill="1" applyBorder="1" applyAlignment="1">
      <alignment horizontal="center" vertical="center" wrapText="1"/>
    </xf>
    <xf numFmtId="0" fontId="0" fillId="32" borderId="3" xfId="0" applyFill="1" applyBorder="1" applyAlignment="1">
      <alignment horizontal="center"/>
    </xf>
    <xf numFmtId="0" fontId="0" fillId="32" borderId="0" xfId="0" applyFill="1"/>
    <xf numFmtId="0" fontId="0" fillId="32" borderId="3" xfId="0" applyFill="1" applyBorder="1"/>
    <xf numFmtId="0" fontId="0" fillId="32" borderId="3" xfId="0" applyFill="1" applyBorder="1" applyAlignment="1">
      <alignment horizontal="center" vertical="center" wrapText="1"/>
    </xf>
    <xf numFmtId="49" fontId="0" fillId="32" borderId="3" xfId="0" applyNumberFormat="1" applyFill="1" applyBorder="1" applyAlignment="1">
      <alignment horizontal="center" vertical="center"/>
    </xf>
    <xf numFmtId="165" fontId="4" fillId="20" borderId="1" xfId="0" applyNumberFormat="1" applyFont="1" applyFill="1" applyBorder="1" applyAlignment="1">
      <alignment horizontal="center" vertical="center"/>
    </xf>
    <xf numFmtId="49" fontId="0" fillId="20" borderId="1" xfId="0" applyNumberFormat="1" applyFill="1" applyBorder="1" applyAlignment="1">
      <alignment horizontal="center" vertical="center"/>
    </xf>
    <xf numFmtId="14" fontId="0" fillId="20" borderId="1" xfId="0" applyNumberFormat="1" applyFill="1" applyBorder="1" applyAlignment="1">
      <alignment horizontal="center" vertical="center"/>
    </xf>
    <xf numFmtId="0" fontId="0" fillId="22" borderId="40" xfId="0" applyFill="1" applyBorder="1" applyAlignment="1">
      <alignment horizontal="center" vertical="center"/>
    </xf>
    <xf numFmtId="166" fontId="0" fillId="22" borderId="32" xfId="0" applyNumberFormat="1" applyFill="1" applyBorder="1" applyAlignment="1">
      <alignment horizontal="center" vertical="center"/>
    </xf>
    <xf numFmtId="166" fontId="0" fillId="22" borderId="39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6" fontId="1" fillId="22" borderId="49" xfId="0" applyNumberFormat="1" applyFont="1" applyFill="1" applyBorder="1" applyAlignment="1">
      <alignment horizontal="center" vertical="center"/>
    </xf>
    <xf numFmtId="0" fontId="1" fillId="15" borderId="14" xfId="0" applyFont="1" applyFill="1" applyBorder="1" applyAlignment="1">
      <alignment horizontal="center" vertical="center" wrapText="1"/>
    </xf>
    <xf numFmtId="0" fontId="1" fillId="18" borderId="46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 vertical="center" wrapText="1"/>
    </xf>
    <xf numFmtId="0" fontId="0" fillId="30" borderId="10" xfId="0" applyFill="1" applyBorder="1" applyAlignment="1">
      <alignment horizontal="center" vertical="center"/>
    </xf>
    <xf numFmtId="0" fontId="0" fillId="32" borderId="1" xfId="0" applyFill="1" applyBorder="1" applyAlignment="1">
      <alignment horizontal="center" vertical="center"/>
    </xf>
    <xf numFmtId="44" fontId="0" fillId="32" borderId="1" xfId="0" applyNumberFormat="1" applyFill="1" applyBorder="1" applyAlignment="1">
      <alignment horizontal="center" vertical="center"/>
    </xf>
    <xf numFmtId="164" fontId="0" fillId="32" borderId="1" xfId="0" applyNumberFormat="1" applyFill="1" applyBorder="1" applyAlignment="1">
      <alignment horizontal="center" vertical="center"/>
    </xf>
    <xf numFmtId="164" fontId="0" fillId="33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6" fontId="0" fillId="31" borderId="9" xfId="0" applyNumberFormat="1" applyFill="1" applyBorder="1" applyAlignment="1">
      <alignment horizontal="center" vertical="center"/>
    </xf>
    <xf numFmtId="0" fontId="0" fillId="20" borderId="3" xfId="0" applyFill="1" applyBorder="1" applyAlignment="1">
      <alignment horizontal="center" vertical="center" wrapText="1"/>
    </xf>
    <xf numFmtId="49" fontId="4" fillId="20" borderId="3" xfId="0" applyNumberFormat="1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0" fontId="0" fillId="20" borderId="28" xfId="0" applyFill="1" applyBorder="1" applyAlignment="1">
      <alignment horizontal="center" vertical="center"/>
    </xf>
    <xf numFmtId="0" fontId="0" fillId="20" borderId="3" xfId="0" applyFill="1" applyBorder="1" applyAlignment="1">
      <alignment horizontal="center" vertical="center"/>
    </xf>
    <xf numFmtId="0" fontId="0" fillId="20" borderId="0" xfId="0" applyFill="1" applyAlignment="1">
      <alignment horizontal="center" vertical="center"/>
    </xf>
    <xf numFmtId="0" fontId="9" fillId="20" borderId="1" xfId="0" applyFont="1" applyFill="1" applyBorder="1" applyAlignment="1">
      <alignment horizontal="center" vertical="center"/>
    </xf>
    <xf numFmtId="0" fontId="10" fillId="20" borderId="0" xfId="0" applyFont="1" applyFill="1" applyAlignment="1">
      <alignment horizontal="center" vertical="center"/>
    </xf>
    <xf numFmtId="0" fontId="11" fillId="20" borderId="1" xfId="0" applyFont="1" applyFill="1" applyBorder="1" applyAlignment="1">
      <alignment horizontal="center" vertical="center"/>
    </xf>
    <xf numFmtId="0" fontId="8" fillId="20" borderId="1" xfId="0" applyFont="1" applyFill="1" applyBorder="1" applyAlignment="1">
      <alignment horizontal="center" vertical="center"/>
    </xf>
    <xf numFmtId="0" fontId="16" fillId="2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16" fillId="20" borderId="1" xfId="0" applyFont="1" applyFill="1" applyBorder="1" applyAlignment="1">
      <alignment horizontal="center" vertical="center"/>
    </xf>
    <xf numFmtId="44" fontId="0" fillId="20" borderId="1" xfId="0" applyNumberFormat="1" applyFill="1" applyBorder="1" applyAlignment="1">
      <alignment horizontal="center" vertical="center"/>
    </xf>
    <xf numFmtId="0" fontId="4" fillId="20" borderId="1" xfId="0" applyFont="1" applyFill="1" applyBorder="1" applyAlignment="1">
      <alignment horizontal="center" vertical="center"/>
    </xf>
    <xf numFmtId="165" fontId="0" fillId="30" borderId="1" xfId="0" applyNumberForma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1" xfId="0" applyBorder="1"/>
    <xf numFmtId="0" fontId="0" fillId="30" borderId="1" xfId="0" applyFill="1" applyBorder="1" applyAlignment="1">
      <alignment horizontal="center" wrapText="1"/>
    </xf>
    <xf numFmtId="0" fontId="3" fillId="30" borderId="1" xfId="1" applyFill="1" applyBorder="1" applyAlignment="1">
      <alignment horizontal="center" vertical="center"/>
    </xf>
    <xf numFmtId="0" fontId="9" fillId="30" borderId="25" xfId="0" applyFont="1" applyFill="1" applyBorder="1" applyAlignment="1">
      <alignment horizontal="center"/>
    </xf>
    <xf numFmtId="0" fontId="8" fillId="30" borderId="1" xfId="0" applyFont="1" applyFill="1" applyBorder="1" applyAlignment="1">
      <alignment horizontal="center" vertical="center"/>
    </xf>
    <xf numFmtId="14" fontId="0" fillId="30" borderId="41" xfId="0" applyNumberFormat="1" applyFill="1" applyBorder="1" applyAlignment="1">
      <alignment horizontal="center" vertical="center"/>
    </xf>
    <xf numFmtId="0" fontId="0" fillId="30" borderId="41" xfId="0" applyFill="1" applyBorder="1" applyAlignment="1">
      <alignment horizontal="center" vertical="center"/>
    </xf>
    <xf numFmtId="0" fontId="0" fillId="30" borderId="28" xfId="0" applyFill="1" applyBorder="1" applyAlignment="1">
      <alignment horizontal="center" vertical="center"/>
    </xf>
    <xf numFmtId="44" fontId="0" fillId="30" borderId="28" xfId="0" applyNumberFormat="1" applyFill="1" applyBorder="1" applyAlignment="1">
      <alignment horizontal="center" vertical="center"/>
    </xf>
    <xf numFmtId="164" fontId="0" fillId="30" borderId="28" xfId="0" applyNumberFormat="1" applyFill="1" applyBorder="1" applyAlignment="1">
      <alignment horizontal="center" vertical="center"/>
    </xf>
    <xf numFmtId="164" fontId="0" fillId="31" borderId="28" xfId="0" applyNumberFormat="1" applyFill="1" applyBorder="1" applyAlignment="1">
      <alignment horizontal="center" vertical="center"/>
    </xf>
    <xf numFmtId="14" fontId="0" fillId="32" borderId="1" xfId="0" applyNumberFormat="1" applyFill="1" applyBorder="1" applyAlignment="1">
      <alignment horizontal="center" vertical="center"/>
    </xf>
    <xf numFmtId="0" fontId="0" fillId="20" borderId="0" xfId="0" applyFill="1"/>
    <xf numFmtId="0" fontId="0" fillId="20" borderId="1" xfId="0" applyFill="1" applyBorder="1" applyAlignment="1">
      <alignment horizontal="center" vertical="center" wrapText="1"/>
    </xf>
    <xf numFmtId="165" fontId="0" fillId="30" borderId="1" xfId="0" applyNumberFormat="1" applyFont="1" applyFill="1" applyBorder="1" applyAlignment="1">
      <alignment horizontal="center" vertical="center"/>
    </xf>
    <xf numFmtId="0" fontId="0" fillId="20" borderId="3" xfId="0" applyFill="1" applyBorder="1" applyAlignment="1">
      <alignment horizontal="center"/>
    </xf>
    <xf numFmtId="0" fontId="0" fillId="20" borderId="1" xfId="0" applyFill="1" applyBorder="1"/>
    <xf numFmtId="0" fontId="0" fillId="0" borderId="0" xfId="0" applyAlignment="1">
      <alignment horizontal="center" vertical="center"/>
    </xf>
    <xf numFmtId="49" fontId="0" fillId="32" borderId="4" xfId="0" applyNumberFormat="1" applyFill="1" applyBorder="1" applyAlignment="1">
      <alignment horizontal="center"/>
    </xf>
    <xf numFmtId="0" fontId="3" fillId="32" borderId="3" xfId="1" applyFill="1" applyBorder="1" applyAlignment="1">
      <alignment horizontal="center"/>
    </xf>
    <xf numFmtId="0" fontId="0" fillId="32" borderId="1" xfId="0" applyFill="1" applyBorder="1" applyAlignment="1">
      <alignment horizontal="center"/>
    </xf>
    <xf numFmtId="0" fontId="3" fillId="30" borderId="1" xfId="1" applyFill="1" applyBorder="1" applyAlignment="1">
      <alignment horizontal="center"/>
    </xf>
    <xf numFmtId="16" fontId="0" fillId="30" borderId="3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0" borderId="1" xfId="0" applyFill="1" applyBorder="1" applyAlignment="1">
      <alignment horizontal="center" vertical="center" wrapText="1"/>
    </xf>
    <xf numFmtId="0" fontId="3" fillId="30" borderId="0" xfId="1" applyFill="1" applyAlignment="1">
      <alignment horizontal="center" vertical="center"/>
    </xf>
    <xf numFmtId="0" fontId="0" fillId="30" borderId="1" xfId="0" applyFill="1" applyBorder="1" applyAlignment="1">
      <alignment wrapText="1"/>
    </xf>
    <xf numFmtId="17" fontId="0" fillId="30" borderId="1" xfId="0" applyNumberFormat="1" applyFill="1" applyBorder="1" applyAlignment="1">
      <alignment horizontal="center" vertical="center"/>
    </xf>
    <xf numFmtId="44" fontId="0" fillId="30" borderId="2" xfId="0" applyNumberFormat="1" applyFill="1" applyBorder="1" applyAlignment="1">
      <alignment horizontal="center" vertical="center"/>
    </xf>
    <xf numFmtId="164" fontId="0" fillId="30" borderId="9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/>
    <xf numFmtId="0" fontId="17" fillId="20" borderId="35" xfId="0" applyFont="1" applyFill="1" applyBorder="1" applyAlignment="1">
      <alignment horizontal="center" vertical="center" wrapText="1"/>
    </xf>
    <xf numFmtId="0" fontId="13" fillId="20" borderId="3" xfId="0" applyFont="1" applyFill="1" applyBorder="1" applyAlignment="1">
      <alignment horizontal="center" vertical="center"/>
    </xf>
    <xf numFmtId="0" fontId="13" fillId="20" borderId="4" xfId="0" applyFont="1" applyFill="1" applyBorder="1" applyAlignment="1">
      <alignment horizontal="center" vertical="center"/>
    </xf>
    <xf numFmtId="0" fontId="13" fillId="20" borderId="1" xfId="0" applyFont="1" applyFill="1" applyBorder="1" applyAlignment="1">
      <alignment horizontal="center" vertical="center" wrapText="1"/>
    </xf>
    <xf numFmtId="165" fontId="13" fillId="20" borderId="1" xfId="0" applyNumberFormat="1" applyFont="1" applyFill="1" applyBorder="1" applyAlignment="1">
      <alignment horizontal="center" vertical="center"/>
    </xf>
    <xf numFmtId="0" fontId="13" fillId="20" borderId="1" xfId="0" applyFont="1" applyFill="1" applyBorder="1" applyAlignment="1">
      <alignment horizontal="center" vertical="center"/>
    </xf>
    <xf numFmtId="166" fontId="0" fillId="16" borderId="1" xfId="0" applyNumberFormat="1" applyFill="1" applyBorder="1" applyAlignment="1">
      <alignment horizontal="center" vertical="center"/>
    </xf>
    <xf numFmtId="0" fontId="13" fillId="30" borderId="10" xfId="0" applyFont="1" applyFill="1" applyBorder="1" applyAlignment="1">
      <alignment horizontal="center" vertical="center"/>
    </xf>
    <xf numFmtId="0" fontId="13" fillId="30" borderId="1" xfId="0" applyFont="1" applyFill="1" applyBorder="1" applyAlignment="1">
      <alignment horizontal="center" vertical="center"/>
    </xf>
    <xf numFmtId="0" fontId="13" fillId="30" borderId="25" xfId="0" applyFont="1" applyFill="1" applyBorder="1" applyAlignment="1">
      <alignment horizontal="center" vertical="center"/>
    </xf>
    <xf numFmtId="165" fontId="13" fillId="30" borderId="1" xfId="0" applyNumberFormat="1" applyFont="1" applyFill="1" applyBorder="1" applyAlignment="1">
      <alignment horizontal="center" vertical="center"/>
    </xf>
    <xf numFmtId="0" fontId="13" fillId="30" borderId="1" xfId="0" applyFont="1" applyFill="1" applyBorder="1" applyAlignment="1">
      <alignment horizontal="center" vertical="center" wrapText="1"/>
    </xf>
    <xf numFmtId="0" fontId="0" fillId="20" borderId="1" xfId="0" applyFill="1" applyBorder="1" applyAlignment="1">
      <alignment horizontal="center" vertical="center" wrapText="1"/>
    </xf>
    <xf numFmtId="166" fontId="13" fillId="30" borderId="1" xfId="0" applyNumberFormat="1" applyFont="1" applyFill="1" applyBorder="1" applyAlignment="1">
      <alignment horizontal="center" vertical="center"/>
    </xf>
    <xf numFmtId="166" fontId="13" fillId="31" borderId="1" xfId="0" applyNumberFormat="1" applyFont="1" applyFill="1" applyBorder="1" applyAlignment="1">
      <alignment horizontal="center" vertical="center"/>
    </xf>
    <xf numFmtId="166" fontId="13" fillId="30" borderId="9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20" borderId="1" xfId="0" applyFill="1" applyBorder="1" applyAlignment="1">
      <alignment horizontal="center" vertical="center" wrapText="1"/>
    </xf>
    <xf numFmtId="0" fontId="3" fillId="20" borderId="1" xfId="1" applyFill="1" applyBorder="1"/>
    <xf numFmtId="49" fontId="0" fillId="30" borderId="1" xfId="0" applyNumberFormat="1" applyFill="1" applyBorder="1" applyAlignment="1">
      <alignment horizontal="center"/>
    </xf>
    <xf numFmtId="0" fontId="0" fillId="20" borderId="1" xfId="0" applyFill="1" applyBorder="1" applyAlignment="1">
      <alignment horizontal="center" vertical="center" wrapText="1"/>
    </xf>
    <xf numFmtId="0" fontId="0" fillId="20" borderId="1" xfId="0" applyFill="1" applyBorder="1" applyAlignment="1">
      <alignment horizontal="center" vertical="center" wrapText="1"/>
    </xf>
    <xf numFmtId="0" fontId="14" fillId="20" borderId="1" xfId="0" applyFont="1" applyFill="1" applyBorder="1" applyAlignment="1">
      <alignment horizontal="center" vertical="center"/>
    </xf>
    <xf numFmtId="0" fontId="15" fillId="20" borderId="25" xfId="0" applyFont="1" applyFill="1" applyBorder="1" applyAlignment="1">
      <alignment horizontal="center" vertical="center"/>
    </xf>
    <xf numFmtId="0" fontId="14" fillId="20" borderId="1" xfId="0" applyFont="1" applyFill="1" applyBorder="1" applyAlignment="1">
      <alignment horizontal="left" vertical="center" indent="1"/>
    </xf>
    <xf numFmtId="0" fontId="0" fillId="20" borderId="0" xfId="0" applyFill="1" applyAlignment="1">
      <alignment horizontal="left" vertical="center" indent="1"/>
    </xf>
    <xf numFmtId="0" fontId="0" fillId="20" borderId="1" xfId="0" applyFill="1" applyBorder="1" applyAlignment="1">
      <alignment horizontal="left" indent="1"/>
    </xf>
    <xf numFmtId="0" fontId="0" fillId="20" borderId="1" xfId="0" applyFill="1" applyBorder="1" applyAlignment="1">
      <alignment horizontal="left" vertical="center" indent="1"/>
    </xf>
    <xf numFmtId="165" fontId="4" fillId="20" borderId="1" xfId="0" applyNumberFormat="1" applyFont="1" applyFill="1" applyBorder="1" applyAlignment="1">
      <alignment horizontal="left" vertical="center" indent="1"/>
    </xf>
    <xf numFmtId="0" fontId="0" fillId="20" borderId="1" xfId="0" applyFill="1" applyBorder="1" applyAlignment="1">
      <alignment horizontal="left" vertical="center" wrapText="1" indent="1"/>
    </xf>
    <xf numFmtId="0" fontId="0" fillId="20" borderId="1" xfId="0" applyFill="1" applyBorder="1" applyAlignment="1">
      <alignment horizontal="center" vertical="center" wrapText="1"/>
    </xf>
    <xf numFmtId="166" fontId="0" fillId="30" borderId="0" xfId="0" applyNumberFormat="1" applyFill="1" applyBorder="1" applyAlignment="1">
      <alignment horizontal="center" vertical="center"/>
    </xf>
    <xf numFmtId="0" fontId="0" fillId="30" borderId="0" xfId="0" applyFill="1" applyAlignment="1">
      <alignment horizontal="center" vertical="center"/>
    </xf>
    <xf numFmtId="166" fontId="4" fillId="13" borderId="1" xfId="0" applyNumberFormat="1" applyFont="1" applyFill="1" applyBorder="1" applyAlignment="1">
      <alignment horizontal="center" vertical="center"/>
    </xf>
    <xf numFmtId="166" fontId="4" fillId="14" borderId="1" xfId="0" applyNumberFormat="1" applyFont="1" applyFill="1" applyBorder="1" applyAlignment="1">
      <alignment horizontal="center" vertical="center"/>
    </xf>
    <xf numFmtId="166" fontId="4" fillId="10" borderId="1" xfId="0" applyNumberFormat="1" applyFont="1" applyFill="1" applyBorder="1" applyAlignment="1">
      <alignment horizontal="center" vertical="center"/>
    </xf>
    <xf numFmtId="166" fontId="4" fillId="11" borderId="1" xfId="0" applyNumberFormat="1" applyFont="1" applyFill="1" applyBorder="1" applyAlignment="1">
      <alignment horizontal="center" vertical="center"/>
    </xf>
    <xf numFmtId="166" fontId="4" fillId="6" borderId="1" xfId="0" applyNumberFormat="1" applyFont="1" applyFill="1" applyBorder="1" applyAlignment="1">
      <alignment horizontal="center" vertical="center"/>
    </xf>
    <xf numFmtId="166" fontId="4" fillId="7" borderId="1" xfId="0" applyNumberFormat="1" applyFont="1" applyFill="1" applyBorder="1" applyAlignment="1">
      <alignment horizontal="center" vertical="center"/>
    </xf>
    <xf numFmtId="0" fontId="13" fillId="30" borderId="0" xfId="0" applyFont="1" applyFill="1" applyAlignment="1">
      <alignment horizontal="center" vertical="center"/>
    </xf>
    <xf numFmtId="0" fontId="13" fillId="30" borderId="0" xfId="0" applyFont="1" applyFill="1"/>
    <xf numFmtId="166" fontId="4" fillId="30" borderId="1" xfId="0" applyNumberFormat="1" applyFont="1" applyFill="1" applyBorder="1" applyAlignment="1">
      <alignment horizontal="center" vertical="center"/>
    </xf>
    <xf numFmtId="0" fontId="0" fillId="20" borderId="1" xfId="0" applyFill="1" applyBorder="1" applyAlignment="1">
      <alignment horizontal="center"/>
    </xf>
    <xf numFmtId="166" fontId="13" fillId="11" borderId="1" xfId="0" applyNumberFormat="1" applyFont="1" applyFill="1" applyBorder="1" applyAlignment="1">
      <alignment horizontal="center" vertical="center"/>
    </xf>
    <xf numFmtId="166" fontId="13" fillId="10" borderId="1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0" xfId="0" applyFill="1"/>
    <xf numFmtId="0" fontId="0" fillId="32" borderId="3" xfId="0" applyFill="1" applyBorder="1" applyAlignment="1">
      <alignment horizontal="center" vertical="top" wrapText="1"/>
    </xf>
    <xf numFmtId="0" fontId="0" fillId="32" borderId="3" xfId="0" applyFill="1" applyBorder="1" applyAlignment="1">
      <alignment horizontal="center" vertical="top"/>
    </xf>
    <xf numFmtId="16" fontId="0" fillId="30" borderId="1" xfId="0" applyNumberFormat="1" applyFill="1" applyBorder="1" applyAlignment="1">
      <alignment horizontal="center"/>
    </xf>
    <xf numFmtId="0" fontId="3" fillId="0" borderId="1" xfId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165" fontId="0" fillId="3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1" applyFill="1" applyBorder="1"/>
    <xf numFmtId="166" fontId="0" fillId="0" borderId="1" xfId="0" applyNumberFormat="1" applyFill="1" applyBorder="1" applyAlignment="1">
      <alignment horizontal="center" vertical="center"/>
    </xf>
    <xf numFmtId="0" fontId="3" fillId="30" borderId="1" xfId="1" applyFill="1" applyBorder="1"/>
    <xf numFmtId="0" fontId="0" fillId="22" borderId="1" xfId="0" applyFill="1" applyBorder="1"/>
    <xf numFmtId="44" fontId="0" fillId="2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66" fontId="0" fillId="26" borderId="1" xfId="0" applyNumberFormat="1" applyFill="1" applyBorder="1" applyAlignment="1">
      <alignment horizontal="center" vertical="center"/>
    </xf>
    <xf numFmtId="166" fontId="4" fillId="17" borderId="1" xfId="0" applyNumberFormat="1" applyFont="1" applyFill="1" applyBorder="1" applyAlignment="1">
      <alignment horizontal="center" vertical="center"/>
    </xf>
    <xf numFmtId="0" fontId="0" fillId="20" borderId="3" xfId="0" applyFill="1" applyBorder="1"/>
    <xf numFmtId="0" fontId="0" fillId="20" borderId="2" xfId="0" applyFill="1" applyBorder="1"/>
    <xf numFmtId="0" fontId="0" fillId="20" borderId="2" xfId="0" applyFill="1" applyBorder="1" applyAlignment="1">
      <alignment wrapText="1"/>
    </xf>
    <xf numFmtId="0" fontId="15" fillId="20" borderId="1" xfId="0" applyFont="1" applyFill="1" applyBorder="1" applyAlignment="1">
      <alignment horizontal="center" vertical="center"/>
    </xf>
    <xf numFmtId="0" fontId="0" fillId="22" borderId="1" xfId="0" applyFill="1" applyBorder="1" applyAlignment="1">
      <alignment horizontal="center"/>
    </xf>
    <xf numFmtId="0" fontId="13" fillId="3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15" fontId="0" fillId="0" borderId="31" xfId="0" applyNumberFormat="1" applyBorder="1" applyAlignment="1">
      <alignment horizontal="center" vertical="center"/>
    </xf>
    <xf numFmtId="0" fontId="0" fillId="27" borderId="31" xfId="0" applyFill="1" applyBorder="1" applyAlignment="1">
      <alignment horizontal="center" vertical="center"/>
    </xf>
    <xf numFmtId="0" fontId="0" fillId="27" borderId="43" xfId="0" applyFill="1" applyBorder="1" applyAlignment="1">
      <alignment horizontal="center" vertical="center"/>
    </xf>
    <xf numFmtId="0" fontId="0" fillId="27" borderId="14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15" fontId="0" fillId="0" borderId="13" xfId="0" applyNumberFormat="1" applyBorder="1" applyAlignment="1">
      <alignment horizontal="center" vertical="center"/>
    </xf>
    <xf numFmtId="44" fontId="0" fillId="0" borderId="14" xfId="0" applyNumberFormat="1" applyBorder="1" applyAlignment="1">
      <alignment horizontal="center" vertical="center" wrapText="1"/>
    </xf>
    <xf numFmtId="15" fontId="0" fillId="0" borderId="46" xfId="0" applyNumberFormat="1" applyBorder="1" applyAlignment="1">
      <alignment horizontal="center" vertical="center"/>
    </xf>
    <xf numFmtId="15" fontId="0" fillId="0" borderId="12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9" fontId="0" fillId="0" borderId="31" xfId="0" applyNumberFormat="1" applyBorder="1" applyAlignment="1">
      <alignment horizontal="center" vertical="center"/>
    </xf>
    <xf numFmtId="14" fontId="0" fillId="0" borderId="43" xfId="0" applyNumberFormat="1" applyBorder="1" applyAlignment="1">
      <alignment horizontal="center" vertical="center"/>
    </xf>
    <xf numFmtId="44" fontId="0" fillId="27" borderId="31" xfId="0" applyNumberFormat="1" applyFill="1" applyBorder="1" applyAlignment="1">
      <alignment horizontal="center" vertical="center"/>
    </xf>
    <xf numFmtId="9" fontId="0" fillId="27" borderId="31" xfId="0" applyNumberFormat="1" applyFill="1" applyBorder="1" applyAlignment="1">
      <alignment horizontal="center" vertical="center"/>
    </xf>
    <xf numFmtId="14" fontId="0" fillId="27" borderId="43" xfId="0" applyNumberFormat="1" applyFill="1" applyBorder="1" applyAlignment="1">
      <alignment horizontal="center" vertical="center"/>
    </xf>
    <xf numFmtId="44" fontId="0" fillId="27" borderId="14" xfId="0" applyNumberFormat="1" applyFill="1" applyBorder="1" applyAlignment="1">
      <alignment horizontal="center" vertical="center"/>
    </xf>
    <xf numFmtId="14" fontId="0" fillId="0" borderId="46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15" fontId="0" fillId="0" borderId="14" xfId="0" applyNumberForma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14" fontId="0" fillId="0" borderId="31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4" fontId="0" fillId="34" borderId="14" xfId="0" applyNumberForma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14" fontId="0" fillId="34" borderId="12" xfId="0" applyNumberForma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9" fontId="0" fillId="34" borderId="12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 wrapText="1"/>
    </xf>
    <xf numFmtId="0" fontId="0" fillId="27" borderId="12" xfId="0" applyFill="1" applyBorder="1" applyAlignment="1">
      <alignment horizontal="center" vertical="center"/>
    </xf>
    <xf numFmtId="9" fontId="0" fillId="27" borderId="14" xfId="0" applyNumberFormat="1" applyFill="1" applyBorder="1" applyAlignment="1">
      <alignment horizontal="center" vertical="center"/>
    </xf>
    <xf numFmtId="14" fontId="0" fillId="27" borderId="46" xfId="0" applyNumberFormat="1" applyFill="1" applyBorder="1" applyAlignment="1">
      <alignment horizontal="center" vertical="center"/>
    </xf>
    <xf numFmtId="44" fontId="0" fillId="27" borderId="12" xfId="0" applyNumberFormat="1" applyFill="1" applyBorder="1" applyAlignment="1">
      <alignment horizontal="center" vertical="center"/>
    </xf>
    <xf numFmtId="9" fontId="0" fillId="27" borderId="12" xfId="0" applyNumberFormat="1" applyFill="1" applyBorder="1" applyAlignment="1">
      <alignment horizontal="center" vertical="center"/>
    </xf>
    <xf numFmtId="14" fontId="0" fillId="27" borderId="13" xfId="0" applyNumberFormat="1" applyFill="1" applyBorder="1" applyAlignment="1">
      <alignment horizontal="center" vertical="center"/>
    </xf>
    <xf numFmtId="0" fontId="0" fillId="0" borderId="50" xfId="0" applyBorder="1"/>
    <xf numFmtId="16" fontId="0" fillId="0" borderId="31" xfId="0" applyNumberForma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166" fontId="13" fillId="14" borderId="1" xfId="0" applyNumberFormat="1" applyFont="1" applyFill="1" applyBorder="1" applyAlignment="1">
      <alignment horizontal="center" vertical="center"/>
    </xf>
    <xf numFmtId="166" fontId="13" fillId="13" borderId="1" xfId="0" applyNumberFormat="1" applyFont="1" applyFill="1" applyBorder="1" applyAlignment="1">
      <alignment horizontal="center" vertical="center"/>
    </xf>
    <xf numFmtId="166" fontId="13" fillId="6" borderId="1" xfId="0" applyNumberFormat="1" applyFont="1" applyFill="1" applyBorder="1" applyAlignment="1">
      <alignment horizontal="center" vertical="center"/>
    </xf>
    <xf numFmtId="15" fontId="0" fillId="0" borderId="41" xfId="0" applyNumberFormat="1" applyBorder="1" applyAlignment="1">
      <alignment horizontal="center" vertical="center"/>
    </xf>
    <xf numFmtId="44" fontId="0" fillId="0" borderId="37" xfId="0" applyNumberFormat="1" applyBorder="1" applyAlignment="1">
      <alignment horizontal="center" vertical="center"/>
    </xf>
    <xf numFmtId="44" fontId="0" fillId="0" borderId="41" xfId="0" applyNumberFormat="1" applyBorder="1" applyAlignment="1">
      <alignment horizontal="center" vertical="center"/>
    </xf>
    <xf numFmtId="9" fontId="0" fillId="0" borderId="41" xfId="0" applyNumberForma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4" fillId="3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4" fillId="2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3" fillId="20" borderId="0" xfId="1" applyFill="1"/>
    <xf numFmtId="0" fontId="0" fillId="20" borderId="1" xfId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65" fontId="0" fillId="0" borderId="37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65" fontId="0" fillId="0" borderId="41" xfId="0" applyNumberFormat="1" applyBorder="1" applyAlignment="1">
      <alignment horizontal="center" vertical="center"/>
    </xf>
    <xf numFmtId="165" fontId="0" fillId="0" borderId="39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4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166" fontId="0" fillId="14" borderId="28" xfId="0" applyNumberFormat="1" applyFill="1" applyBorder="1" applyAlignment="1">
      <alignment horizontal="center" vertical="center"/>
    </xf>
    <xf numFmtId="166" fontId="0" fillId="14" borderId="3" xfId="0" applyNumberFormat="1" applyFill="1" applyBorder="1" applyAlignment="1">
      <alignment horizontal="center" vertical="center"/>
    </xf>
    <xf numFmtId="166" fontId="0" fillId="13" borderId="28" xfId="0" applyNumberFormat="1" applyFill="1" applyBorder="1" applyAlignment="1">
      <alignment horizontal="center" vertical="center"/>
    </xf>
    <xf numFmtId="166" fontId="0" fillId="13" borderId="3" xfId="0" applyNumberFormat="1" applyFill="1" applyBorder="1" applyAlignment="1">
      <alignment horizontal="center" vertical="center"/>
    </xf>
    <xf numFmtId="0" fontId="0" fillId="20" borderId="28" xfId="0" applyFill="1" applyBorder="1" applyAlignment="1">
      <alignment horizontal="center" vertical="center"/>
    </xf>
    <xf numFmtId="0" fontId="0" fillId="20" borderId="3" xfId="0" applyFill="1" applyBorder="1" applyAlignment="1">
      <alignment horizontal="center" vertical="center"/>
    </xf>
    <xf numFmtId="49" fontId="4" fillId="20" borderId="28" xfId="0" applyNumberFormat="1" applyFont="1" applyFill="1" applyBorder="1" applyAlignment="1">
      <alignment horizontal="center" vertical="center"/>
    </xf>
    <xf numFmtId="49" fontId="4" fillId="20" borderId="3" xfId="0" applyNumberFormat="1" applyFont="1" applyFill="1" applyBorder="1" applyAlignment="1">
      <alignment horizontal="center" vertical="center"/>
    </xf>
    <xf numFmtId="0" fontId="0" fillId="20" borderId="48" xfId="0" applyFill="1" applyBorder="1" applyAlignment="1">
      <alignment horizontal="center" vertical="center"/>
    </xf>
    <xf numFmtId="0" fontId="0" fillId="20" borderId="4" xfId="0" applyFill="1" applyBorder="1" applyAlignment="1">
      <alignment horizontal="center" vertical="center"/>
    </xf>
    <xf numFmtId="166" fontId="13" fillId="10" borderId="28" xfId="0" applyNumberFormat="1" applyFont="1" applyFill="1" applyBorder="1" applyAlignment="1">
      <alignment horizontal="center" vertical="center"/>
    </xf>
    <xf numFmtId="166" fontId="13" fillId="10" borderId="3" xfId="0" applyNumberFormat="1" applyFont="1" applyFill="1" applyBorder="1" applyAlignment="1">
      <alignment horizontal="center" vertical="center"/>
    </xf>
    <xf numFmtId="166" fontId="13" fillId="11" borderId="28" xfId="0" applyNumberFormat="1" applyFont="1" applyFill="1" applyBorder="1" applyAlignment="1">
      <alignment horizontal="center" vertical="center"/>
    </xf>
    <xf numFmtId="166" fontId="13" fillId="11" borderId="3" xfId="0" applyNumberFormat="1" applyFont="1" applyFill="1" applyBorder="1" applyAlignment="1">
      <alignment horizontal="center" vertical="center"/>
    </xf>
    <xf numFmtId="166" fontId="13" fillId="6" borderId="28" xfId="0" applyNumberFormat="1" applyFont="1" applyFill="1" applyBorder="1" applyAlignment="1">
      <alignment horizontal="center" vertical="center"/>
    </xf>
    <xf numFmtId="166" fontId="13" fillId="6" borderId="3" xfId="0" applyNumberFormat="1" applyFont="1" applyFill="1" applyBorder="1" applyAlignment="1">
      <alignment horizontal="center" vertical="center"/>
    </xf>
    <xf numFmtId="166" fontId="0" fillId="7" borderId="28" xfId="0" applyNumberFormat="1" applyFill="1" applyBorder="1" applyAlignment="1">
      <alignment horizontal="center" vertical="center"/>
    </xf>
    <xf numFmtId="166" fontId="0" fillId="7" borderId="3" xfId="0" applyNumberForma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 wrapText="1"/>
    </xf>
    <xf numFmtId="0" fontId="1" fillId="12" borderId="14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0" fillId="20" borderId="27" xfId="0" applyFill="1" applyBorder="1" applyAlignment="1">
      <alignment horizontal="center" vertical="center"/>
    </xf>
    <xf numFmtId="0" fontId="0" fillId="20" borderId="35" xfId="0" applyFill="1" applyBorder="1" applyAlignment="1">
      <alignment horizontal="center" vertical="center"/>
    </xf>
    <xf numFmtId="0" fontId="0" fillId="20" borderId="28" xfId="0" applyFill="1" applyBorder="1" applyAlignment="1">
      <alignment horizontal="center" vertical="center" wrapText="1"/>
    </xf>
    <xf numFmtId="0" fontId="0" fillId="20" borderId="3" xfId="0" applyFill="1" applyBorder="1" applyAlignment="1">
      <alignment horizontal="center" vertical="center" wrapText="1"/>
    </xf>
    <xf numFmtId="49" fontId="4" fillId="20" borderId="1" xfId="0" applyNumberFormat="1" applyFont="1" applyFill="1" applyBorder="1" applyAlignment="1">
      <alignment horizontal="center" vertical="center"/>
    </xf>
    <xf numFmtId="0" fontId="0" fillId="20" borderId="1" xfId="0" applyFill="1" applyBorder="1" applyAlignment="1">
      <alignment horizontal="center" vertical="center" wrapText="1"/>
    </xf>
    <xf numFmtId="0" fontId="0" fillId="20" borderId="27" xfId="0" applyFill="1" applyBorder="1" applyAlignment="1">
      <alignment horizontal="center" vertical="center" wrapText="1"/>
    </xf>
    <xf numFmtId="0" fontId="0" fillId="20" borderId="35" xfId="0" applyFill="1" applyBorder="1" applyAlignment="1">
      <alignment horizontal="center" vertical="center" wrapText="1"/>
    </xf>
    <xf numFmtId="0" fontId="9" fillId="20" borderId="28" xfId="0" applyFont="1" applyFill="1" applyBorder="1" applyAlignment="1">
      <alignment horizontal="center" vertical="center"/>
    </xf>
    <xf numFmtId="0" fontId="9" fillId="20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47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6" fontId="0" fillId="0" borderId="14" xfId="0" applyNumberFormat="1" applyBorder="1" applyAlignment="1">
      <alignment horizontal="center" vertical="center" wrapText="1"/>
    </xf>
    <xf numFmtId="16" fontId="0" fillId="0" borderId="12" xfId="0" applyNumberFormat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5" fontId="0" fillId="0" borderId="37" xfId="0" applyNumberFormat="1" applyBorder="1" applyAlignment="1">
      <alignment horizontal="center" vertical="center"/>
    </xf>
    <xf numFmtId="15" fontId="0" fillId="0" borderId="39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5" fontId="0" fillId="0" borderId="14" xfId="0" applyNumberFormat="1" applyBorder="1" applyAlignment="1">
      <alignment horizontal="center" vertical="center"/>
    </xf>
    <xf numFmtId="15" fontId="0" fillId="0" borderId="12" xfId="0" applyNumberFormat="1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15" fontId="0" fillId="0" borderId="41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" fillId="18" borderId="3" xfId="0" applyFont="1" applyFill="1" applyBorder="1" applyAlignment="1">
      <alignment horizontal="center" vertical="center" wrapText="1"/>
    </xf>
    <xf numFmtId="0" fontId="1" fillId="18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15" borderId="3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afstaquitaine@gmail.com" TargetMode="External"/><Relationship Id="rId1" Type="http://schemas.openxmlformats.org/officeDocument/2006/relationships/hyperlink" Target="mailto:guygadra@laposte.ne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louisette.izard@sfr.fr" TargetMode="External"/><Relationship Id="rId13" Type="http://schemas.openxmlformats.org/officeDocument/2006/relationships/hyperlink" Target="mailto:secretariatasm@gmail.com" TargetMode="External"/><Relationship Id="rId3" Type="http://schemas.openxmlformats.org/officeDocument/2006/relationships/hyperlink" Target="mailto:annick.lero@yahoo.fr" TargetMode="External"/><Relationship Id="rId7" Type="http://schemas.openxmlformats.org/officeDocument/2006/relationships/hyperlink" Target="mailto:domiquebaudot9@gmail.com" TargetMode="External"/><Relationship Id="rId12" Type="http://schemas.openxmlformats.org/officeDocument/2006/relationships/hyperlink" Target="mailto:isabelle.puyau@gmail.com" TargetMode="External"/><Relationship Id="rId2" Type="http://schemas.openxmlformats.org/officeDocument/2006/relationships/hyperlink" Target="mailto:patriciaprugue@orange,fr" TargetMode="External"/><Relationship Id="rId1" Type="http://schemas.openxmlformats.org/officeDocument/2006/relationships/hyperlink" Target="mailto:rph33@free.fr&#160;" TargetMode="External"/><Relationship Id="rId6" Type="http://schemas.openxmlformats.org/officeDocument/2006/relationships/hyperlink" Target="mailto:marcelmezzavilla@orangefr" TargetMode="External"/><Relationship Id="rId11" Type="http://schemas.openxmlformats.org/officeDocument/2006/relationships/hyperlink" Target="mailto:lecocqjoel@gmail.com" TargetMode="External"/><Relationship Id="rId5" Type="http://schemas.openxmlformats.org/officeDocument/2006/relationships/hyperlink" Target="mailto:ma.gauthier40@free.fr" TargetMode="External"/><Relationship Id="rId15" Type="http://schemas.openxmlformats.org/officeDocument/2006/relationships/printerSettings" Target="../printerSettings/printerSettings5.bin"/><Relationship Id="rId10" Type="http://schemas.openxmlformats.org/officeDocument/2006/relationships/hyperlink" Target="mailto:voyages@autocars-tpo.com" TargetMode="External"/><Relationship Id="rId4" Type="http://schemas.openxmlformats.org/officeDocument/2006/relationships/hyperlink" Target="mailto:regine.arquey@orange.fr" TargetMode="External"/><Relationship Id="rId9" Type="http://schemas.openxmlformats.org/officeDocument/2006/relationships/hyperlink" Target="mailto:g.russo@orange.fr" TargetMode="External"/><Relationship Id="rId14" Type="http://schemas.openxmlformats.org/officeDocument/2006/relationships/hyperlink" Target="mailto:jjmparnaud@orang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6FC54-5A4C-46BB-8AC2-F2D80201C883}">
  <dimension ref="A2:L39"/>
  <sheetViews>
    <sheetView zoomScale="80" zoomScaleNormal="80" workbookViewId="0">
      <selection activeCell="K10" sqref="K10"/>
    </sheetView>
  </sheetViews>
  <sheetFormatPr baseColWidth="10" defaultRowHeight="14.4" x14ac:dyDescent="0.3"/>
  <cols>
    <col min="1" max="2" width="25.109375" customWidth="1"/>
    <col min="3" max="3" width="30" customWidth="1"/>
    <col min="4" max="4" width="25.44140625" customWidth="1"/>
    <col min="8" max="8" width="36.33203125" customWidth="1"/>
    <col min="9" max="9" width="13.6640625" customWidth="1"/>
  </cols>
  <sheetData>
    <row r="2" spans="1:12" ht="18" x14ac:dyDescent="0.3">
      <c r="A2" s="437" t="s">
        <v>297</v>
      </c>
      <c r="B2" s="437"/>
      <c r="C2" s="437"/>
      <c r="D2" s="437"/>
      <c r="E2" s="437"/>
      <c r="F2" s="437"/>
      <c r="G2" s="437"/>
      <c r="H2" s="437"/>
      <c r="I2" s="437"/>
      <c r="J2" s="437"/>
    </row>
    <row r="3" spans="1:12" ht="15" thickBot="1" x14ac:dyDescent="0.35"/>
    <row r="4" spans="1:12" ht="29.4" thickBot="1" x14ac:dyDescent="0.35">
      <c r="A4" s="125" t="s">
        <v>0</v>
      </c>
      <c r="B4" s="126" t="s">
        <v>33</v>
      </c>
      <c r="C4" s="127" t="s">
        <v>34</v>
      </c>
      <c r="D4" s="125" t="s">
        <v>315</v>
      </c>
      <c r="E4" s="126" t="s">
        <v>36</v>
      </c>
      <c r="F4" s="126" t="s">
        <v>37</v>
      </c>
      <c r="G4" s="128" t="s">
        <v>244</v>
      </c>
      <c r="H4" s="129" t="s">
        <v>314</v>
      </c>
      <c r="I4" s="36" t="s">
        <v>316</v>
      </c>
      <c r="J4" s="52"/>
    </row>
    <row r="5" spans="1:12" ht="15" thickBot="1" x14ac:dyDescent="0.35">
      <c r="A5" s="131" t="s">
        <v>113</v>
      </c>
      <c r="B5" s="132">
        <v>44613</v>
      </c>
      <c r="C5" s="108" t="s">
        <v>298</v>
      </c>
      <c r="D5" s="108"/>
      <c r="E5" s="108"/>
      <c r="F5" s="133"/>
      <c r="G5" s="133"/>
      <c r="H5" s="134"/>
    </row>
    <row r="6" spans="1:12" ht="43.8" thickBot="1" x14ac:dyDescent="0.35">
      <c r="A6" s="131" t="s">
        <v>117</v>
      </c>
      <c r="B6" s="132">
        <v>44616</v>
      </c>
      <c r="C6" s="108" t="s">
        <v>299</v>
      </c>
      <c r="D6" s="132">
        <v>44616</v>
      </c>
      <c r="E6" s="133">
        <v>494.55</v>
      </c>
      <c r="F6" s="133">
        <v>544</v>
      </c>
      <c r="G6" s="133">
        <v>49.45</v>
      </c>
      <c r="H6" s="157" t="s">
        <v>329</v>
      </c>
      <c r="I6" t="s">
        <v>318</v>
      </c>
    </row>
    <row r="7" spans="1:12" x14ac:dyDescent="0.3">
      <c r="A7" s="429" t="s">
        <v>130</v>
      </c>
      <c r="B7" s="431">
        <v>44644</v>
      </c>
      <c r="C7" s="109" t="s">
        <v>300</v>
      </c>
      <c r="D7" s="150">
        <v>44755</v>
      </c>
      <c r="E7" s="135"/>
      <c r="F7" s="135">
        <v>299</v>
      </c>
      <c r="G7" s="135" t="s">
        <v>317</v>
      </c>
      <c r="H7" s="136" t="s">
        <v>325</v>
      </c>
      <c r="I7">
        <v>375</v>
      </c>
      <c r="L7" s="63"/>
    </row>
    <row r="8" spans="1:12" x14ac:dyDescent="0.3">
      <c r="A8" s="433"/>
      <c r="B8" s="435"/>
      <c r="C8" s="5" t="s">
        <v>301</v>
      </c>
      <c r="D8" s="151">
        <v>44678</v>
      </c>
      <c r="E8" s="105">
        <v>961.82</v>
      </c>
      <c r="F8" s="105">
        <v>1058</v>
      </c>
      <c r="G8" s="105">
        <v>96.18</v>
      </c>
      <c r="H8" s="137" t="s">
        <v>319</v>
      </c>
      <c r="I8" t="s">
        <v>318</v>
      </c>
    </row>
    <row r="9" spans="1:12" ht="15" thickBot="1" x14ac:dyDescent="0.35">
      <c r="A9" s="434"/>
      <c r="B9" s="436"/>
      <c r="C9" s="100" t="s">
        <v>302</v>
      </c>
      <c r="D9" s="155">
        <v>44651</v>
      </c>
      <c r="E9" s="106"/>
      <c r="F9" s="106">
        <v>144.9</v>
      </c>
      <c r="G9" s="106" t="s">
        <v>317</v>
      </c>
      <c r="H9" s="138" t="s">
        <v>320</v>
      </c>
      <c r="I9" t="s">
        <v>321</v>
      </c>
    </row>
    <row r="10" spans="1:12" ht="29.4" thickBot="1" x14ac:dyDescent="0.35">
      <c r="A10" s="131" t="s">
        <v>125</v>
      </c>
      <c r="B10" s="132">
        <v>45016</v>
      </c>
      <c r="C10" s="108" t="s">
        <v>302</v>
      </c>
      <c r="D10" s="132">
        <v>44651</v>
      </c>
      <c r="E10" s="133"/>
      <c r="F10" s="133">
        <v>66.150000000000006</v>
      </c>
      <c r="G10" s="133" t="s">
        <v>317</v>
      </c>
      <c r="H10" s="138" t="s">
        <v>320</v>
      </c>
      <c r="I10" t="s">
        <v>321</v>
      </c>
      <c r="K10" s="63"/>
    </row>
    <row r="11" spans="1:12" ht="28.2" customHeight="1" thickBot="1" x14ac:dyDescent="0.35">
      <c r="A11" s="131" t="s">
        <v>128</v>
      </c>
      <c r="B11" s="132">
        <v>45016</v>
      </c>
      <c r="C11" s="108" t="s">
        <v>298</v>
      </c>
      <c r="D11" s="108"/>
      <c r="E11" s="133"/>
      <c r="F11" s="133"/>
      <c r="G11" s="133"/>
      <c r="H11" s="134"/>
    </row>
    <row r="12" spans="1:12" ht="28.2" customHeight="1" thickBot="1" x14ac:dyDescent="0.35">
      <c r="A12" s="429" t="s">
        <v>152</v>
      </c>
      <c r="B12" s="431">
        <v>44695</v>
      </c>
      <c r="C12" s="109" t="s">
        <v>298</v>
      </c>
      <c r="D12" s="109"/>
      <c r="E12" s="135"/>
      <c r="F12" s="135"/>
      <c r="G12" s="135"/>
      <c r="H12" s="139"/>
    </row>
    <row r="13" spans="1:12" ht="15" thickBot="1" x14ac:dyDescent="0.35">
      <c r="A13" s="434"/>
      <c r="B13" s="436"/>
      <c r="C13" s="100" t="s">
        <v>299</v>
      </c>
      <c r="D13" s="140" t="s">
        <v>330</v>
      </c>
      <c r="E13" s="140">
        <v>208.18</v>
      </c>
      <c r="F13" s="140">
        <v>240</v>
      </c>
      <c r="G13" s="140">
        <v>21.82</v>
      </c>
      <c r="H13" s="157" t="s">
        <v>329</v>
      </c>
      <c r="I13" t="s">
        <v>318</v>
      </c>
    </row>
    <row r="14" spans="1:12" x14ac:dyDescent="0.3">
      <c r="A14" s="429" t="s">
        <v>147</v>
      </c>
      <c r="B14" s="431">
        <v>44696</v>
      </c>
      <c r="C14" s="109" t="s">
        <v>303</v>
      </c>
      <c r="D14" s="153">
        <v>44696</v>
      </c>
      <c r="E14" s="141"/>
      <c r="F14" s="141">
        <v>28.5</v>
      </c>
      <c r="G14" s="141" t="s">
        <v>317</v>
      </c>
      <c r="H14" s="139" t="s">
        <v>323</v>
      </c>
      <c r="I14" t="s">
        <v>318</v>
      </c>
    </row>
    <row r="15" spans="1:12" x14ac:dyDescent="0.3">
      <c r="A15" s="433"/>
      <c r="B15" s="435"/>
      <c r="C15" s="5" t="s">
        <v>304</v>
      </c>
      <c r="D15" s="152">
        <v>44726</v>
      </c>
      <c r="E15" s="3"/>
      <c r="F15" s="3">
        <v>38</v>
      </c>
      <c r="G15" s="3" t="s">
        <v>317</v>
      </c>
      <c r="H15" s="142" t="s">
        <v>322</v>
      </c>
      <c r="I15" t="s">
        <v>318</v>
      </c>
    </row>
    <row r="16" spans="1:12" x14ac:dyDescent="0.3">
      <c r="A16" s="433"/>
      <c r="B16" s="435"/>
      <c r="C16" s="5" t="s">
        <v>301</v>
      </c>
      <c r="D16" s="152">
        <v>44702</v>
      </c>
      <c r="E16" s="3">
        <v>414.55</v>
      </c>
      <c r="F16" s="3">
        <v>456</v>
      </c>
      <c r="G16" s="3">
        <v>41.45</v>
      </c>
      <c r="H16" s="137" t="s">
        <v>319</v>
      </c>
      <c r="I16" t="s">
        <v>318</v>
      </c>
    </row>
    <row r="17" spans="1:9" ht="15" thickBot="1" x14ac:dyDescent="0.35">
      <c r="A17" s="434"/>
      <c r="B17" s="436"/>
      <c r="C17" s="100" t="s">
        <v>302</v>
      </c>
      <c r="D17" s="154">
        <v>44696</v>
      </c>
      <c r="E17" s="140"/>
      <c r="F17" s="140">
        <v>59.85</v>
      </c>
      <c r="G17" s="140" t="s">
        <v>317</v>
      </c>
      <c r="H17" s="138" t="s">
        <v>320</v>
      </c>
      <c r="I17" t="s">
        <v>318</v>
      </c>
    </row>
    <row r="18" spans="1:9" ht="15" thickBot="1" x14ac:dyDescent="0.35">
      <c r="A18" s="107" t="s">
        <v>121</v>
      </c>
      <c r="B18" s="132">
        <v>44697</v>
      </c>
      <c r="C18" s="143" t="s">
        <v>299</v>
      </c>
      <c r="D18" s="144" t="s">
        <v>331</v>
      </c>
      <c r="E18" s="144">
        <v>363.64</v>
      </c>
      <c r="F18" s="144">
        <v>400</v>
      </c>
      <c r="G18" s="144">
        <v>36.36</v>
      </c>
      <c r="H18" s="157" t="s">
        <v>329</v>
      </c>
    </row>
    <row r="19" spans="1:9" ht="29.4" thickBot="1" x14ac:dyDescent="0.35">
      <c r="A19" s="131" t="s">
        <v>154</v>
      </c>
      <c r="B19" s="132">
        <v>44710</v>
      </c>
      <c r="C19" s="143" t="s">
        <v>298</v>
      </c>
      <c r="D19" s="144"/>
      <c r="E19" s="144"/>
      <c r="F19" s="144"/>
      <c r="G19" s="144"/>
      <c r="H19" s="134"/>
    </row>
    <row r="20" spans="1:9" ht="29.4" thickBot="1" x14ac:dyDescent="0.35">
      <c r="A20" s="131" t="s">
        <v>160</v>
      </c>
      <c r="B20" s="132">
        <v>44714</v>
      </c>
      <c r="C20" s="143" t="s">
        <v>302</v>
      </c>
      <c r="D20" s="156">
        <v>44723</v>
      </c>
      <c r="E20" s="144"/>
      <c r="F20" s="144">
        <v>138.6</v>
      </c>
      <c r="G20" s="144" t="s">
        <v>317</v>
      </c>
      <c r="H20" s="138" t="s">
        <v>320</v>
      </c>
      <c r="I20" t="s">
        <v>318</v>
      </c>
    </row>
    <row r="21" spans="1:9" ht="15" thickBot="1" x14ac:dyDescent="0.35">
      <c r="A21" s="429" t="s">
        <v>168</v>
      </c>
      <c r="B21" s="431">
        <v>44723</v>
      </c>
      <c r="C21" s="145" t="s">
        <v>307</v>
      </c>
      <c r="D21" s="153">
        <v>44723</v>
      </c>
      <c r="E21" s="141"/>
      <c r="F21" s="141">
        <v>63</v>
      </c>
      <c r="G21" s="144" t="s">
        <v>317</v>
      </c>
      <c r="H21" s="138" t="s">
        <v>320</v>
      </c>
      <c r="I21" t="s">
        <v>318</v>
      </c>
    </row>
    <row r="22" spans="1:9" x14ac:dyDescent="0.3">
      <c r="A22" s="433"/>
      <c r="B22" s="435"/>
      <c r="C22" s="130" t="s">
        <v>305</v>
      </c>
      <c r="D22" s="152">
        <v>44723</v>
      </c>
      <c r="E22" s="3">
        <v>400</v>
      </c>
      <c r="F22" s="3">
        <v>440</v>
      </c>
      <c r="G22" s="3">
        <v>40</v>
      </c>
      <c r="H22" s="142" t="s">
        <v>329</v>
      </c>
      <c r="I22" t="s">
        <v>318</v>
      </c>
    </row>
    <row r="23" spans="1:9" ht="15" thickBot="1" x14ac:dyDescent="0.35">
      <c r="A23" s="434"/>
      <c r="B23" s="436"/>
      <c r="C23" s="146" t="s">
        <v>306</v>
      </c>
      <c r="D23" s="154">
        <v>44726</v>
      </c>
      <c r="E23" s="140">
        <v>83.33</v>
      </c>
      <c r="F23" s="140">
        <v>100</v>
      </c>
      <c r="G23" s="140">
        <v>16.670000000000002</v>
      </c>
      <c r="H23" s="138" t="s">
        <v>324</v>
      </c>
      <c r="I23" t="s">
        <v>318</v>
      </c>
    </row>
    <row r="24" spans="1:9" ht="15" thickBot="1" x14ac:dyDescent="0.35">
      <c r="A24" s="107" t="s">
        <v>171</v>
      </c>
      <c r="B24" s="147" t="s">
        <v>170</v>
      </c>
      <c r="C24" s="143" t="s">
        <v>298</v>
      </c>
      <c r="D24" s="144"/>
      <c r="E24" s="144"/>
      <c r="F24" s="144"/>
      <c r="G24" s="144"/>
      <c r="H24" s="134"/>
    </row>
    <row r="25" spans="1:9" ht="15" thickBot="1" x14ac:dyDescent="0.35">
      <c r="A25" s="107" t="s">
        <v>183</v>
      </c>
      <c r="B25" s="132" t="s">
        <v>313</v>
      </c>
      <c r="C25" s="143" t="s">
        <v>308</v>
      </c>
      <c r="D25" s="144"/>
      <c r="E25" s="144"/>
      <c r="F25" s="144"/>
      <c r="G25" s="144"/>
      <c r="H25" s="134"/>
    </row>
    <row r="26" spans="1:9" ht="29.4" thickBot="1" x14ac:dyDescent="0.35">
      <c r="A26" s="131" t="s">
        <v>190</v>
      </c>
      <c r="B26" s="132" t="s">
        <v>312</v>
      </c>
      <c r="C26" s="143" t="s">
        <v>308</v>
      </c>
      <c r="D26" s="144"/>
      <c r="E26" s="144"/>
      <c r="F26" s="144"/>
      <c r="G26" s="144"/>
      <c r="H26" s="134"/>
    </row>
    <row r="27" spans="1:9" ht="29.4" thickBot="1" x14ac:dyDescent="0.35">
      <c r="A27" s="131" t="s">
        <v>205</v>
      </c>
      <c r="B27" s="132">
        <v>44828</v>
      </c>
      <c r="C27" s="143" t="s">
        <v>298</v>
      </c>
      <c r="D27" s="144"/>
      <c r="E27" s="144"/>
      <c r="F27" s="144"/>
      <c r="G27" s="144"/>
      <c r="H27" s="134"/>
    </row>
    <row r="28" spans="1:9" x14ac:dyDescent="0.3">
      <c r="A28" s="429" t="s">
        <v>207</v>
      </c>
      <c r="B28" s="431">
        <v>44849</v>
      </c>
      <c r="C28" s="145" t="s">
        <v>308</v>
      </c>
      <c r="D28" s="141"/>
      <c r="E28" s="141"/>
      <c r="F28" s="141"/>
      <c r="G28" s="141"/>
      <c r="H28" s="139"/>
    </row>
    <row r="29" spans="1:9" ht="15" thickBot="1" x14ac:dyDescent="0.35">
      <c r="A29" s="434"/>
      <c r="B29" s="436"/>
      <c r="C29" s="146" t="s">
        <v>298</v>
      </c>
      <c r="D29" s="140"/>
      <c r="E29" s="140"/>
      <c r="F29" s="140"/>
      <c r="G29" s="140"/>
      <c r="H29" s="138"/>
    </row>
    <row r="30" spans="1:9" ht="15" thickBot="1" x14ac:dyDescent="0.35">
      <c r="A30" s="438" t="s">
        <v>213</v>
      </c>
      <c r="B30" s="431">
        <v>44853</v>
      </c>
      <c r="C30" s="145" t="s">
        <v>306</v>
      </c>
      <c r="D30" s="153">
        <v>44853</v>
      </c>
      <c r="E30" s="141">
        <v>166.67</v>
      </c>
      <c r="F30" s="141">
        <v>200</v>
      </c>
      <c r="G30" s="141">
        <v>33.33</v>
      </c>
      <c r="H30" s="139" t="s">
        <v>324</v>
      </c>
      <c r="I30" t="s">
        <v>318</v>
      </c>
    </row>
    <row r="31" spans="1:9" x14ac:dyDescent="0.3">
      <c r="A31" s="439"/>
      <c r="B31" s="435"/>
      <c r="C31" s="130" t="s">
        <v>299</v>
      </c>
      <c r="D31" s="3" t="s">
        <v>332</v>
      </c>
      <c r="E31" s="3">
        <f>668.18+90.83</f>
        <v>759.01</v>
      </c>
      <c r="F31" s="3">
        <v>844</v>
      </c>
      <c r="G31" s="3">
        <f>66.82+18.17</f>
        <v>84.99</v>
      </c>
      <c r="H31" s="139" t="s">
        <v>328</v>
      </c>
      <c r="I31" t="s">
        <v>318</v>
      </c>
    </row>
    <row r="32" spans="1:9" x14ac:dyDescent="0.3">
      <c r="A32" s="439"/>
      <c r="B32" s="435"/>
      <c r="C32" s="130" t="s">
        <v>298</v>
      </c>
      <c r="D32" s="3"/>
      <c r="E32" s="3">
        <v>83.25</v>
      </c>
      <c r="F32" s="3">
        <v>83.25</v>
      </c>
      <c r="G32" s="3"/>
      <c r="H32" s="142"/>
    </row>
    <row r="33" spans="1:9" ht="15" thickBot="1" x14ac:dyDescent="0.35">
      <c r="A33" s="440"/>
      <c r="B33" s="436"/>
      <c r="C33" s="146" t="s">
        <v>300</v>
      </c>
      <c r="D33" s="154">
        <v>44901</v>
      </c>
      <c r="E33" s="140">
        <v>240.5</v>
      </c>
      <c r="F33" s="140">
        <v>240.5</v>
      </c>
      <c r="G33" s="140" t="s">
        <v>317</v>
      </c>
      <c r="H33" s="138" t="s">
        <v>325</v>
      </c>
      <c r="I33" t="s">
        <v>333</v>
      </c>
    </row>
    <row r="34" spans="1:9" x14ac:dyDescent="0.3">
      <c r="A34" s="429" t="s">
        <v>215</v>
      </c>
      <c r="B34" s="431">
        <v>44861</v>
      </c>
      <c r="C34" s="145" t="s">
        <v>309</v>
      </c>
      <c r="D34" s="153">
        <v>44888</v>
      </c>
      <c r="E34" s="141">
        <v>645.83000000000004</v>
      </c>
      <c r="F34" s="141">
        <v>775</v>
      </c>
      <c r="G34" s="141">
        <v>129.16999999999999</v>
      </c>
      <c r="H34" s="139" t="s">
        <v>326</v>
      </c>
      <c r="I34" t="s">
        <v>318</v>
      </c>
    </row>
    <row r="35" spans="1:9" ht="15" thickBot="1" x14ac:dyDescent="0.35">
      <c r="A35" s="434"/>
      <c r="B35" s="436"/>
      <c r="C35" s="146" t="s">
        <v>310</v>
      </c>
      <c r="D35" s="140"/>
      <c r="E35" s="140"/>
      <c r="F35" s="140"/>
      <c r="G35" s="140"/>
      <c r="H35" s="138"/>
      <c r="I35" t="s">
        <v>334</v>
      </c>
    </row>
    <row r="36" spans="1:9" x14ac:dyDescent="0.3">
      <c r="A36" s="429" t="s">
        <v>218</v>
      </c>
      <c r="B36" s="431">
        <v>44863</v>
      </c>
      <c r="C36" s="145" t="s">
        <v>299</v>
      </c>
      <c r="D36" s="141" t="s">
        <v>327</v>
      </c>
      <c r="E36" s="141">
        <v>621.82000000000005</v>
      </c>
      <c r="F36" s="141">
        <v>684</v>
      </c>
      <c r="G36" s="141">
        <v>62.18</v>
      </c>
      <c r="H36" s="139" t="s">
        <v>328</v>
      </c>
      <c r="I36" t="s">
        <v>318</v>
      </c>
    </row>
    <row r="37" spans="1:9" x14ac:dyDescent="0.3">
      <c r="A37" s="430"/>
      <c r="B37" s="432"/>
      <c r="C37" s="130" t="s">
        <v>298</v>
      </c>
      <c r="D37" s="3"/>
      <c r="E37" s="3"/>
      <c r="F37" s="3"/>
      <c r="G37" s="3"/>
      <c r="H37" s="142"/>
    </row>
    <row r="38" spans="1:9" ht="15" thickBot="1" x14ac:dyDescent="0.35">
      <c r="A38" s="148" t="s">
        <v>224</v>
      </c>
      <c r="B38" s="149" t="s">
        <v>311</v>
      </c>
      <c r="C38" s="146" t="s">
        <v>308</v>
      </c>
      <c r="D38" s="140"/>
      <c r="E38" s="140"/>
      <c r="F38" s="140"/>
      <c r="G38" s="140"/>
      <c r="H38" s="138"/>
    </row>
    <row r="39" spans="1:9" ht="29.4" thickBot="1" x14ac:dyDescent="0.35">
      <c r="A39" s="131" t="s">
        <v>226</v>
      </c>
      <c r="B39" s="147" t="s">
        <v>311</v>
      </c>
      <c r="C39" s="143" t="s">
        <v>308</v>
      </c>
      <c r="D39" s="144"/>
      <c r="E39" s="144"/>
      <c r="F39" s="144"/>
      <c r="G39" s="144"/>
      <c r="H39" s="134" t="s">
        <v>346</v>
      </c>
      <c r="I39">
        <v>600</v>
      </c>
    </row>
  </sheetData>
  <mergeCells count="17">
    <mergeCell ref="A2:J2"/>
    <mergeCell ref="A30:A33"/>
    <mergeCell ref="A7:A9"/>
    <mergeCell ref="B7:B9"/>
    <mergeCell ref="A12:A13"/>
    <mergeCell ref="B12:B13"/>
    <mergeCell ref="A14:A17"/>
    <mergeCell ref="B14:B17"/>
    <mergeCell ref="A36:A37"/>
    <mergeCell ref="B36:B37"/>
    <mergeCell ref="A21:A23"/>
    <mergeCell ref="B21:B23"/>
    <mergeCell ref="A28:A29"/>
    <mergeCell ref="B28:B29"/>
    <mergeCell ref="B30:B33"/>
    <mergeCell ref="A34:A35"/>
    <mergeCell ref="B34:B3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913F2-7220-46F6-B729-0D46ABE1E421}">
  <dimension ref="A1:Z97"/>
  <sheetViews>
    <sheetView topLeftCell="D38" zoomScale="60" zoomScaleNormal="60" workbookViewId="0">
      <selection activeCell="Z58" sqref="Z58"/>
    </sheetView>
  </sheetViews>
  <sheetFormatPr baseColWidth="10" defaultRowHeight="14.4" x14ac:dyDescent="0.3"/>
  <cols>
    <col min="1" max="1" width="40.6640625" customWidth="1"/>
    <col min="2" max="2" width="26.6640625" customWidth="1"/>
    <col min="3" max="3" width="17.33203125" customWidth="1"/>
    <col min="4" max="4" width="5.5546875" bestFit="1" customWidth="1"/>
    <col min="5" max="5" width="12.5546875" customWidth="1"/>
    <col min="6" max="6" width="24.88671875" customWidth="1"/>
    <col min="7" max="7" width="32.6640625" customWidth="1"/>
    <col min="8" max="8" width="18.6640625" customWidth="1"/>
    <col min="9" max="9" width="13.88671875" customWidth="1"/>
    <col min="11" max="11" width="9.88671875" customWidth="1"/>
    <col min="12" max="12" width="15.5546875" customWidth="1"/>
    <col min="13" max="13" width="17.44140625" customWidth="1"/>
    <col min="14" max="14" width="13.109375" customWidth="1"/>
    <col min="15" max="16" width="12.33203125" customWidth="1"/>
    <col min="17" max="17" width="17.33203125" customWidth="1"/>
    <col min="18" max="18" width="15.6640625" customWidth="1"/>
    <col min="19" max="19" width="13.33203125" bestFit="1" customWidth="1"/>
    <col min="22" max="22" width="15" customWidth="1"/>
  </cols>
  <sheetData>
    <row r="1" spans="1:26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3">
      <c r="A2" s="454" t="s">
        <v>466</v>
      </c>
      <c r="B2" s="454"/>
      <c r="C2" s="45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8" x14ac:dyDescent="0.3">
      <c r="A3" s="437" t="s">
        <v>106</v>
      </c>
      <c r="B3" s="437"/>
      <c r="C3" s="437"/>
      <c r="D3" s="437"/>
      <c r="E3" s="437"/>
      <c r="F3" s="437"/>
      <c r="G3" s="437"/>
      <c r="H3" s="437"/>
      <c r="I3" s="43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8.600000000000001" thickBot="1" x14ac:dyDescent="0.35">
      <c r="A4" s="8" t="s">
        <v>77</v>
      </c>
      <c r="B4" s="8"/>
      <c r="C4" s="8"/>
      <c r="D4" s="8"/>
      <c r="E4" s="8"/>
      <c r="F4" s="8"/>
      <c r="G4" s="8"/>
      <c r="H4" s="8"/>
      <c r="I4" s="8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 thickBot="1" x14ac:dyDescent="0.35">
      <c r="A5" s="455" t="s">
        <v>28</v>
      </c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7"/>
      <c r="O5" s="455" t="s">
        <v>27</v>
      </c>
      <c r="P5" s="456"/>
      <c r="Q5" s="456"/>
      <c r="R5" s="456"/>
      <c r="S5" s="456"/>
      <c r="T5" s="456"/>
      <c r="U5" s="456"/>
      <c r="V5" s="456"/>
      <c r="W5" s="456"/>
      <c r="X5" s="457"/>
      <c r="Y5" s="4"/>
      <c r="Z5" s="4"/>
    </row>
    <row r="6" spans="1:26" ht="54" customHeight="1" x14ac:dyDescent="0.3">
      <c r="A6" s="458" t="s">
        <v>5</v>
      </c>
      <c r="B6" s="459"/>
      <c r="C6" s="459"/>
      <c r="D6" s="459"/>
      <c r="E6" s="460"/>
      <c r="F6" s="461">
        <v>18</v>
      </c>
      <c r="G6" s="462"/>
      <c r="H6" s="463" t="s">
        <v>6</v>
      </c>
      <c r="I6" s="463"/>
      <c r="J6" s="464" t="s">
        <v>9</v>
      </c>
      <c r="K6" s="464"/>
      <c r="L6" s="465" t="s">
        <v>16</v>
      </c>
      <c r="M6" s="466"/>
      <c r="N6" s="14" t="s">
        <v>25</v>
      </c>
      <c r="O6" s="467" t="s">
        <v>14</v>
      </c>
      <c r="P6" s="468"/>
      <c r="Q6" s="469" t="s">
        <v>18</v>
      </c>
      <c r="R6" s="469"/>
      <c r="S6" s="443" t="s">
        <v>20</v>
      </c>
      <c r="T6" s="443"/>
      <c r="U6" s="470" t="s">
        <v>22</v>
      </c>
      <c r="V6" s="470"/>
      <c r="W6" s="112" t="s">
        <v>241</v>
      </c>
      <c r="X6" s="113" t="s">
        <v>240</v>
      </c>
      <c r="Y6" s="441"/>
      <c r="Z6" s="441"/>
    </row>
    <row r="7" spans="1:26" x14ac:dyDescent="0.3">
      <c r="A7" s="9" t="s">
        <v>0</v>
      </c>
      <c r="B7" s="10" t="s">
        <v>1</v>
      </c>
      <c r="C7" s="10" t="s">
        <v>2</v>
      </c>
      <c r="D7" s="10" t="s">
        <v>3</v>
      </c>
      <c r="E7" s="12" t="s">
        <v>4</v>
      </c>
      <c r="F7" s="15" t="s">
        <v>30</v>
      </c>
      <c r="G7" s="10" t="s">
        <v>31</v>
      </c>
      <c r="H7" s="11" t="s">
        <v>7</v>
      </c>
      <c r="I7" s="11" t="s">
        <v>8</v>
      </c>
      <c r="J7" s="11" t="s">
        <v>10</v>
      </c>
      <c r="K7" s="10" t="s">
        <v>11</v>
      </c>
      <c r="L7" s="10" t="s">
        <v>15</v>
      </c>
      <c r="M7" s="10" t="s">
        <v>17</v>
      </c>
      <c r="N7" s="12" t="s">
        <v>26</v>
      </c>
      <c r="O7" s="16" t="s">
        <v>12</v>
      </c>
      <c r="P7" s="13" t="s">
        <v>13</v>
      </c>
      <c r="Q7" s="17" t="s">
        <v>19</v>
      </c>
      <c r="R7" s="18" t="s">
        <v>13</v>
      </c>
      <c r="S7" s="20" t="s">
        <v>19</v>
      </c>
      <c r="T7" s="19" t="s">
        <v>13</v>
      </c>
      <c r="U7" s="21" t="s">
        <v>19</v>
      </c>
      <c r="V7" s="22" t="s">
        <v>13</v>
      </c>
      <c r="W7" s="24" t="s">
        <v>13</v>
      </c>
      <c r="X7" s="26" t="s">
        <v>13</v>
      </c>
      <c r="Y7" s="1"/>
      <c r="Z7" s="1"/>
    </row>
    <row r="8" spans="1:26" x14ac:dyDescent="0.3">
      <c r="A8" s="6" t="s">
        <v>107</v>
      </c>
      <c r="B8" s="5" t="s">
        <v>109</v>
      </c>
      <c r="C8" s="5"/>
      <c r="E8" s="7"/>
      <c r="F8" s="66" t="s">
        <v>111</v>
      </c>
      <c r="G8" s="5" t="s">
        <v>108</v>
      </c>
      <c r="H8" s="29"/>
      <c r="I8" s="29"/>
      <c r="J8" s="29"/>
      <c r="K8" s="5"/>
      <c r="L8" s="5">
        <v>10</v>
      </c>
      <c r="M8" s="5" t="s">
        <v>110</v>
      </c>
      <c r="N8" s="7"/>
      <c r="O8" s="67">
        <v>3.75</v>
      </c>
      <c r="P8" s="68">
        <v>4.5</v>
      </c>
      <c r="Q8" s="69">
        <f>L8*O8</f>
        <v>37.5</v>
      </c>
      <c r="R8" s="70">
        <f>L8*P8</f>
        <v>45</v>
      </c>
      <c r="S8" s="71">
        <f>Q8</f>
        <v>37.5</v>
      </c>
      <c r="T8" s="72">
        <f>R8</f>
        <v>45</v>
      </c>
      <c r="U8" s="73"/>
      <c r="V8" s="74"/>
      <c r="W8" s="75"/>
      <c r="X8" s="76"/>
      <c r="Y8" s="1"/>
      <c r="Z8" s="1"/>
    </row>
    <row r="9" spans="1:26" ht="33" customHeight="1" x14ac:dyDescent="0.3">
      <c r="A9" s="35" t="s">
        <v>113</v>
      </c>
      <c r="B9" s="5" t="s">
        <v>115</v>
      </c>
      <c r="C9" s="5"/>
      <c r="D9" s="3"/>
      <c r="E9" s="7"/>
      <c r="F9" s="66" t="s">
        <v>112</v>
      </c>
      <c r="G9" s="29" t="s">
        <v>114</v>
      </c>
      <c r="H9" s="29"/>
      <c r="I9" s="29"/>
      <c r="J9" s="29"/>
      <c r="K9" s="5"/>
      <c r="L9" s="5">
        <v>10</v>
      </c>
      <c r="M9" s="5"/>
      <c r="N9" s="7"/>
      <c r="O9" s="67">
        <v>7.5</v>
      </c>
      <c r="P9" s="68">
        <v>9</v>
      </c>
      <c r="Q9" s="69">
        <v>75</v>
      </c>
      <c r="R9" s="70">
        <v>90</v>
      </c>
      <c r="S9" s="71">
        <f>Q9-U9</f>
        <v>52.5</v>
      </c>
      <c r="T9" s="72">
        <f>R9-V9</f>
        <v>67.5</v>
      </c>
      <c r="U9" s="122">
        <v>22.5</v>
      </c>
      <c r="V9" s="78">
        <f>W9</f>
        <v>22.5</v>
      </c>
      <c r="W9" s="79">
        <f>2.25*10</f>
        <v>22.5</v>
      </c>
      <c r="X9" s="76"/>
      <c r="Y9" s="1"/>
      <c r="Z9" s="1"/>
    </row>
    <row r="10" spans="1:26" x14ac:dyDescent="0.3">
      <c r="A10" s="35" t="s">
        <v>117</v>
      </c>
      <c r="B10" s="5" t="s">
        <v>118</v>
      </c>
      <c r="C10" s="5"/>
      <c r="D10" s="3"/>
      <c r="E10" s="7"/>
      <c r="F10" s="66" t="s">
        <v>116</v>
      </c>
      <c r="G10" s="29" t="s">
        <v>119</v>
      </c>
      <c r="H10" s="29"/>
      <c r="I10" s="29"/>
      <c r="J10" s="29"/>
      <c r="K10" s="5"/>
      <c r="L10" s="5">
        <v>33</v>
      </c>
      <c r="M10" s="5"/>
      <c r="N10" s="7"/>
      <c r="O10" s="67">
        <v>19.166599999999999</v>
      </c>
      <c r="P10" s="68">
        <v>23</v>
      </c>
      <c r="Q10" s="69">
        <f>L10*O10</f>
        <v>632.49779999999998</v>
      </c>
      <c r="R10" s="70">
        <v>759</v>
      </c>
      <c r="S10" s="71">
        <f>Q10-U10</f>
        <v>137.94779999999997</v>
      </c>
      <c r="T10" s="72">
        <f>R10-V10</f>
        <v>215</v>
      </c>
      <c r="U10" s="77">
        <v>494.55</v>
      </c>
      <c r="V10" s="78">
        <v>544</v>
      </c>
      <c r="W10" s="75"/>
      <c r="X10" s="76"/>
      <c r="Y10" s="1"/>
      <c r="Z10" s="1"/>
    </row>
    <row r="11" spans="1:26" x14ac:dyDescent="0.3">
      <c r="A11" s="35" t="s">
        <v>136</v>
      </c>
      <c r="B11" s="5" t="s">
        <v>137</v>
      </c>
      <c r="C11" s="5"/>
      <c r="D11" s="3"/>
      <c r="E11" s="7"/>
      <c r="F11" s="66" t="s">
        <v>135</v>
      </c>
      <c r="G11" s="29" t="s">
        <v>42</v>
      </c>
      <c r="H11" s="29"/>
      <c r="I11" s="29"/>
      <c r="J11" s="29"/>
      <c r="K11" s="5"/>
      <c r="L11" s="5">
        <v>4</v>
      </c>
      <c r="M11" s="5"/>
      <c r="N11" s="7"/>
      <c r="O11" s="67">
        <v>3.75</v>
      </c>
      <c r="P11" s="68">
        <v>4.5</v>
      </c>
      <c r="Q11" s="69">
        <f>L11*O11</f>
        <v>15</v>
      </c>
      <c r="R11" s="70">
        <f>L11*P11</f>
        <v>18</v>
      </c>
      <c r="S11" s="71">
        <v>15</v>
      </c>
      <c r="T11" s="72">
        <v>18</v>
      </c>
      <c r="U11" s="73"/>
      <c r="V11" s="74"/>
      <c r="W11" s="75"/>
      <c r="X11" s="76"/>
      <c r="Y11" s="1"/>
      <c r="Z11" s="158"/>
    </row>
    <row r="12" spans="1:26" ht="28.8" x14ac:dyDescent="0.3">
      <c r="A12" s="35" t="s">
        <v>130</v>
      </c>
      <c r="B12" s="5" t="s">
        <v>131</v>
      </c>
      <c r="C12" s="5"/>
      <c r="D12" s="3"/>
      <c r="E12" s="7"/>
      <c r="F12" s="66" t="s">
        <v>129</v>
      </c>
      <c r="G12" s="29" t="s">
        <v>132</v>
      </c>
      <c r="H12" s="29"/>
      <c r="I12" s="29"/>
      <c r="J12" s="29"/>
      <c r="K12" s="5"/>
      <c r="L12" s="5">
        <v>46</v>
      </c>
      <c r="M12" s="5"/>
      <c r="N12" s="7"/>
      <c r="O12" s="67">
        <v>30</v>
      </c>
      <c r="P12" s="68">
        <v>36</v>
      </c>
      <c r="Q12" s="69">
        <f>L12*O12</f>
        <v>1380</v>
      </c>
      <c r="R12" s="70">
        <f>L12*P12</f>
        <v>1656</v>
      </c>
      <c r="S12" s="71">
        <f>Q12-U12</f>
        <v>-25.720000000000027</v>
      </c>
      <c r="T12" s="72">
        <f>R12-V12</f>
        <v>154.09999999999991</v>
      </c>
      <c r="U12" s="77">
        <f>961.82+144.9+299</f>
        <v>1405.72</v>
      </c>
      <c r="V12" s="78">
        <v>1501.9</v>
      </c>
      <c r="W12" s="75"/>
      <c r="X12" s="76"/>
      <c r="Y12" s="1"/>
      <c r="Z12" s="1"/>
    </row>
    <row r="13" spans="1:26" x14ac:dyDescent="0.3">
      <c r="A13" s="35" t="s">
        <v>125</v>
      </c>
      <c r="B13" s="5" t="s">
        <v>126</v>
      </c>
      <c r="C13" s="5"/>
      <c r="D13" s="3"/>
      <c r="E13" s="7"/>
      <c r="F13" s="66" t="s">
        <v>124</v>
      </c>
      <c r="G13" s="5" t="s">
        <v>127</v>
      </c>
      <c r="H13" s="5"/>
      <c r="I13" s="5"/>
      <c r="J13" s="5"/>
      <c r="K13" s="5"/>
      <c r="L13" s="5">
        <v>21</v>
      </c>
      <c r="M13" s="5"/>
      <c r="N13" s="7"/>
      <c r="O13" s="67">
        <v>7.5</v>
      </c>
      <c r="P13" s="68">
        <v>9</v>
      </c>
      <c r="Q13" s="69">
        <v>157.5</v>
      </c>
      <c r="R13" s="70">
        <v>189</v>
      </c>
      <c r="S13" s="71">
        <f t="shared" ref="S13:T14" si="0">Q13-U13</f>
        <v>91.35</v>
      </c>
      <c r="T13" s="72">
        <f t="shared" si="0"/>
        <v>122.85</v>
      </c>
      <c r="U13" s="122">
        <v>66.150000000000006</v>
      </c>
      <c r="V13" s="78">
        <v>66.150000000000006</v>
      </c>
      <c r="W13" s="75"/>
      <c r="X13" s="76"/>
      <c r="Y13" s="4"/>
      <c r="Z13" s="4"/>
    </row>
    <row r="14" spans="1:26" x14ac:dyDescent="0.3">
      <c r="A14" s="35" t="s">
        <v>128</v>
      </c>
      <c r="B14" s="5"/>
      <c r="C14" s="5"/>
      <c r="D14" s="3"/>
      <c r="E14" s="7"/>
      <c r="F14" s="66" t="s">
        <v>124</v>
      </c>
      <c r="G14" s="5" t="s">
        <v>114</v>
      </c>
      <c r="H14" s="5"/>
      <c r="I14" s="5"/>
      <c r="J14" s="5"/>
      <c r="K14" s="5"/>
      <c r="L14" s="5">
        <v>31</v>
      </c>
      <c r="M14" s="5"/>
      <c r="N14" s="7"/>
      <c r="O14" s="67">
        <v>6.6666600000000003</v>
      </c>
      <c r="P14" s="68">
        <v>8</v>
      </c>
      <c r="Q14" s="69">
        <f t="shared" ref="Q14:Q21" si="1">L14*O14</f>
        <v>206.66646</v>
      </c>
      <c r="R14" s="70">
        <v>248</v>
      </c>
      <c r="S14" s="71">
        <f t="shared" si="0"/>
        <v>136.91646</v>
      </c>
      <c r="T14" s="72">
        <f t="shared" si="0"/>
        <v>178.25</v>
      </c>
      <c r="U14" s="122">
        <v>69.75</v>
      </c>
      <c r="V14" s="78">
        <f>W14</f>
        <v>69.75</v>
      </c>
      <c r="W14" s="79">
        <f>L14*2.25</f>
        <v>69.75</v>
      </c>
      <c r="X14" s="76"/>
      <c r="Y14" s="4"/>
      <c r="Z14" s="4"/>
    </row>
    <row r="15" spans="1:26" x14ac:dyDescent="0.3">
      <c r="A15" s="6" t="s">
        <v>134</v>
      </c>
      <c r="B15" s="5"/>
      <c r="C15" s="5"/>
      <c r="D15" s="5"/>
      <c r="E15" s="7"/>
      <c r="F15" s="66" t="s">
        <v>142</v>
      </c>
      <c r="G15" s="5" t="s">
        <v>42</v>
      </c>
      <c r="H15" s="5"/>
      <c r="I15" s="5"/>
      <c r="J15" s="5"/>
      <c r="K15" s="5"/>
      <c r="L15" s="5">
        <v>24</v>
      </c>
      <c r="M15" s="5"/>
      <c r="N15" s="7"/>
      <c r="O15" s="67">
        <v>3.75</v>
      </c>
      <c r="P15" s="68">
        <v>4.5</v>
      </c>
      <c r="Q15" s="69">
        <f t="shared" si="1"/>
        <v>90</v>
      </c>
      <c r="R15" s="70">
        <f>L15*P15</f>
        <v>108</v>
      </c>
      <c r="S15" s="71">
        <v>90</v>
      </c>
      <c r="T15" s="72">
        <v>108</v>
      </c>
      <c r="U15" s="73"/>
      <c r="V15" s="74"/>
      <c r="W15" s="75"/>
      <c r="X15" s="76"/>
      <c r="Y15" s="4"/>
      <c r="Z15" s="4"/>
    </row>
    <row r="16" spans="1:26" x14ac:dyDescent="0.3">
      <c r="A16" s="6" t="s">
        <v>141</v>
      </c>
      <c r="B16" s="5"/>
      <c r="C16" s="5"/>
      <c r="D16" s="5"/>
      <c r="E16" s="7"/>
      <c r="F16" s="66" t="s">
        <v>133</v>
      </c>
      <c r="G16" s="5" t="s">
        <v>42</v>
      </c>
      <c r="H16" s="5"/>
      <c r="I16" s="5"/>
      <c r="J16" s="5"/>
      <c r="K16" s="5"/>
      <c r="L16" s="5">
        <v>47</v>
      </c>
      <c r="M16" s="5"/>
      <c r="N16" s="7"/>
      <c r="O16" s="67">
        <v>3.75</v>
      </c>
      <c r="P16" s="68">
        <v>4.5</v>
      </c>
      <c r="Q16" s="69">
        <f t="shared" si="1"/>
        <v>176.25</v>
      </c>
      <c r="R16" s="70">
        <f>P16*L16</f>
        <v>211.5</v>
      </c>
      <c r="S16" s="71">
        <v>176.25</v>
      </c>
      <c r="T16" s="72">
        <v>211.5</v>
      </c>
      <c r="U16" s="73"/>
      <c r="V16" s="74"/>
      <c r="W16" s="75"/>
      <c r="X16" s="76"/>
      <c r="Y16" s="4"/>
      <c r="Z16" s="4"/>
    </row>
    <row r="17" spans="1:26" x14ac:dyDescent="0.3">
      <c r="A17" s="6" t="s">
        <v>134</v>
      </c>
      <c r="B17" s="5"/>
      <c r="C17" s="5"/>
      <c r="D17" s="5"/>
      <c r="E17" s="7"/>
      <c r="F17" s="66" t="s">
        <v>133</v>
      </c>
      <c r="G17" s="5" t="s">
        <v>42</v>
      </c>
      <c r="H17" s="5"/>
      <c r="I17" s="5"/>
      <c r="J17" s="5"/>
      <c r="K17" s="5"/>
      <c r="L17" s="5">
        <v>20</v>
      </c>
      <c r="M17" s="5"/>
      <c r="N17" s="7"/>
      <c r="O17" s="67">
        <v>3.75</v>
      </c>
      <c r="P17" s="68">
        <v>4.5</v>
      </c>
      <c r="Q17" s="69">
        <f t="shared" si="1"/>
        <v>75</v>
      </c>
      <c r="R17" s="70">
        <f t="shared" ref="R17:R29" si="2">L17*P17</f>
        <v>90</v>
      </c>
      <c r="S17" s="71">
        <v>75</v>
      </c>
      <c r="T17" s="72">
        <v>90</v>
      </c>
      <c r="U17" s="73"/>
      <c r="V17" s="74"/>
      <c r="W17" s="75"/>
      <c r="X17" s="76"/>
      <c r="Y17" s="4"/>
      <c r="Z17" s="4"/>
    </row>
    <row r="18" spans="1:26" x14ac:dyDescent="0.3">
      <c r="A18" s="6"/>
      <c r="B18" s="5" t="s">
        <v>144</v>
      </c>
      <c r="C18" s="5"/>
      <c r="D18" s="5"/>
      <c r="E18" s="7"/>
      <c r="F18" s="66" t="s">
        <v>143</v>
      </c>
      <c r="G18" s="5" t="s">
        <v>108</v>
      </c>
      <c r="H18" s="5"/>
      <c r="I18" s="5"/>
      <c r="J18" s="5"/>
      <c r="K18" s="5"/>
      <c r="L18" s="5">
        <v>29</v>
      </c>
      <c r="M18" s="5"/>
      <c r="N18" s="7"/>
      <c r="O18" s="67">
        <v>3.75</v>
      </c>
      <c r="P18" s="68">
        <v>4.5</v>
      </c>
      <c r="Q18" s="69">
        <f t="shared" si="1"/>
        <v>108.75</v>
      </c>
      <c r="R18" s="70">
        <f t="shared" si="2"/>
        <v>130.5</v>
      </c>
      <c r="S18" s="71">
        <v>108.75</v>
      </c>
      <c r="T18" s="72">
        <v>130.5</v>
      </c>
      <c r="U18" s="73"/>
      <c r="V18" s="74"/>
      <c r="W18" s="75"/>
      <c r="X18" s="76"/>
      <c r="Y18" s="4"/>
      <c r="Z18" s="4"/>
    </row>
    <row r="19" spans="1:26" x14ac:dyDescent="0.3">
      <c r="A19" s="6" t="s">
        <v>141</v>
      </c>
      <c r="B19" s="5"/>
      <c r="C19" s="5"/>
      <c r="D19" s="5"/>
      <c r="E19" s="7"/>
      <c r="F19" s="66" t="s">
        <v>145</v>
      </c>
      <c r="G19" s="5" t="s">
        <v>42</v>
      </c>
      <c r="H19" s="5"/>
      <c r="I19" s="5"/>
      <c r="J19" s="5"/>
      <c r="K19" s="5"/>
      <c r="L19" s="5">
        <v>34</v>
      </c>
      <c r="M19" s="5"/>
      <c r="N19" s="7"/>
      <c r="O19" s="67">
        <v>3.75</v>
      </c>
      <c r="P19" s="68">
        <v>4.5</v>
      </c>
      <c r="Q19" s="69">
        <f t="shared" si="1"/>
        <v>127.5</v>
      </c>
      <c r="R19" s="70">
        <f t="shared" si="2"/>
        <v>153</v>
      </c>
      <c r="S19" s="71">
        <v>127.5</v>
      </c>
      <c r="T19" s="72">
        <v>153</v>
      </c>
      <c r="U19" s="73"/>
      <c r="V19" s="74"/>
      <c r="W19" s="75"/>
      <c r="X19" s="76"/>
      <c r="Y19" s="4"/>
      <c r="Z19" s="4"/>
    </row>
    <row r="20" spans="1:26" x14ac:dyDescent="0.3">
      <c r="A20" s="35" t="s">
        <v>152</v>
      </c>
      <c r="B20" s="5"/>
      <c r="C20" s="5"/>
      <c r="D20" s="5"/>
      <c r="E20" s="7"/>
      <c r="F20" s="66" t="s">
        <v>150</v>
      </c>
      <c r="G20" s="5" t="s">
        <v>151</v>
      </c>
      <c r="H20" s="5"/>
      <c r="I20" s="5"/>
      <c r="J20" s="5"/>
      <c r="K20" s="5"/>
      <c r="L20" s="5">
        <v>14</v>
      </c>
      <c r="M20" s="5"/>
      <c r="N20" s="7"/>
      <c r="O20" s="67">
        <v>23.333300000000001</v>
      </c>
      <c r="P20" s="68">
        <v>28</v>
      </c>
      <c r="Q20" s="69">
        <f t="shared" si="1"/>
        <v>326.6662</v>
      </c>
      <c r="R20" s="70">
        <f t="shared" si="2"/>
        <v>392</v>
      </c>
      <c r="S20" s="71">
        <f>Q20-U20</f>
        <v>86.986199999999997</v>
      </c>
      <c r="T20" s="72">
        <f>R20-V20</f>
        <v>120.5</v>
      </c>
      <c r="U20" s="77">
        <f>208.18+W20</f>
        <v>239.68</v>
      </c>
      <c r="V20" s="78">
        <f>240+W20</f>
        <v>271.5</v>
      </c>
      <c r="W20" s="79">
        <f>L20*2.25</f>
        <v>31.5</v>
      </c>
      <c r="X20" s="76"/>
      <c r="Y20" s="4"/>
      <c r="Z20" s="4"/>
    </row>
    <row r="21" spans="1:26" ht="28.8" x14ac:dyDescent="0.3">
      <c r="A21" s="35" t="s">
        <v>147</v>
      </c>
      <c r="B21" s="5" t="s">
        <v>149</v>
      </c>
      <c r="C21" s="5"/>
      <c r="D21" s="5"/>
      <c r="E21" s="7"/>
      <c r="F21" s="66" t="s">
        <v>146</v>
      </c>
      <c r="G21" s="29" t="s">
        <v>148</v>
      </c>
      <c r="H21" s="5"/>
      <c r="I21" s="5"/>
      <c r="J21" s="5"/>
      <c r="K21" s="5"/>
      <c r="L21" s="5">
        <v>19</v>
      </c>
      <c r="M21" s="5"/>
      <c r="N21" s="7"/>
      <c r="O21" s="67">
        <v>29.166899999999998</v>
      </c>
      <c r="P21" s="68">
        <v>35</v>
      </c>
      <c r="Q21" s="69">
        <f t="shared" si="1"/>
        <v>554.17110000000002</v>
      </c>
      <c r="R21" s="70">
        <f t="shared" si="2"/>
        <v>665</v>
      </c>
      <c r="S21" s="71">
        <f t="shared" ref="S21:T22" si="3">Q21-U21</f>
        <v>13.281099999999924</v>
      </c>
      <c r="T21" s="72">
        <f t="shared" si="3"/>
        <v>82.649999999999977</v>
      </c>
      <c r="U21" s="77">
        <f>414.54+59.85+38+28.5</f>
        <v>540.8900000000001</v>
      </c>
      <c r="V21" s="78">
        <v>582.35</v>
      </c>
      <c r="W21" s="75"/>
      <c r="X21" s="76"/>
      <c r="Y21" s="4"/>
      <c r="Z21" s="4"/>
    </row>
    <row r="22" spans="1:26" x14ac:dyDescent="0.3">
      <c r="A22" s="6" t="s">
        <v>121</v>
      </c>
      <c r="B22" s="5" t="s">
        <v>122</v>
      </c>
      <c r="C22" s="5"/>
      <c r="D22" s="3"/>
      <c r="E22" s="7"/>
      <c r="F22" s="66" t="s">
        <v>120</v>
      </c>
      <c r="G22" s="5" t="s">
        <v>123</v>
      </c>
      <c r="H22" s="5"/>
      <c r="I22" s="5"/>
      <c r="J22" s="5"/>
      <c r="K22" s="5"/>
      <c r="L22" s="5">
        <v>24</v>
      </c>
      <c r="M22" s="5"/>
      <c r="N22" s="7"/>
      <c r="O22" s="67">
        <v>20.833300000000001</v>
      </c>
      <c r="P22" s="68">
        <v>25</v>
      </c>
      <c r="Q22" s="69">
        <v>500</v>
      </c>
      <c r="R22" s="70">
        <f t="shared" si="2"/>
        <v>600</v>
      </c>
      <c r="S22" s="71">
        <f t="shared" si="3"/>
        <v>136.36000000000001</v>
      </c>
      <c r="T22" s="72">
        <f t="shared" si="3"/>
        <v>200</v>
      </c>
      <c r="U22" s="77">
        <v>363.64</v>
      </c>
      <c r="V22" s="78">
        <v>400</v>
      </c>
      <c r="W22" s="75"/>
      <c r="X22" s="76"/>
      <c r="Y22" s="4"/>
      <c r="Z22" s="4"/>
    </row>
    <row r="23" spans="1:26" x14ac:dyDescent="0.3">
      <c r="A23" s="60"/>
      <c r="B23" s="61" t="s">
        <v>156</v>
      </c>
      <c r="C23" s="61"/>
      <c r="D23" s="90"/>
      <c r="E23" s="62"/>
      <c r="F23" s="66" t="s">
        <v>157</v>
      </c>
      <c r="G23" s="61" t="s">
        <v>42</v>
      </c>
      <c r="H23" s="61"/>
      <c r="I23" s="61"/>
      <c r="J23" s="61"/>
      <c r="K23" s="61"/>
      <c r="L23" s="61">
        <v>10</v>
      </c>
      <c r="M23" s="61"/>
      <c r="N23" s="62"/>
      <c r="O23" s="67">
        <v>3.75</v>
      </c>
      <c r="P23" s="68">
        <v>4.5</v>
      </c>
      <c r="Q23" s="82">
        <f t="shared" ref="Q23:Q57" si="4">L23*O23</f>
        <v>37.5</v>
      </c>
      <c r="R23" s="83">
        <f t="shared" si="2"/>
        <v>45</v>
      </c>
      <c r="S23" s="84">
        <v>37.5</v>
      </c>
      <c r="T23" s="85">
        <v>45</v>
      </c>
      <c r="U23" s="73"/>
      <c r="V23" s="74"/>
      <c r="W23" s="75"/>
      <c r="X23" s="76"/>
      <c r="Y23" s="4"/>
      <c r="Z23" s="4"/>
    </row>
    <row r="24" spans="1:26" x14ac:dyDescent="0.3">
      <c r="A24" s="91" t="s">
        <v>154</v>
      </c>
      <c r="B24" s="61"/>
      <c r="C24" s="61"/>
      <c r="D24" s="90"/>
      <c r="E24" s="62"/>
      <c r="F24" s="66" t="s">
        <v>153</v>
      </c>
      <c r="G24" s="61" t="s">
        <v>155</v>
      </c>
      <c r="H24" s="61"/>
      <c r="I24" s="61"/>
      <c r="J24" s="61"/>
      <c r="K24" s="61"/>
      <c r="L24" s="61">
        <v>51</v>
      </c>
      <c r="M24" s="61"/>
      <c r="N24" s="62"/>
      <c r="O24" s="80">
        <v>4.5833000000000004</v>
      </c>
      <c r="P24" s="81">
        <v>5.5</v>
      </c>
      <c r="Q24" s="82">
        <f t="shared" si="4"/>
        <v>233.74830000000003</v>
      </c>
      <c r="R24" s="83">
        <f t="shared" si="2"/>
        <v>280.5</v>
      </c>
      <c r="S24" s="84">
        <f>Q24-V24</f>
        <v>118.99830000000003</v>
      </c>
      <c r="T24" s="85">
        <f>R24-V24</f>
        <v>165.75</v>
      </c>
      <c r="U24" s="122">
        <v>114.75</v>
      </c>
      <c r="V24" s="87">
        <f>W24</f>
        <v>114.75</v>
      </c>
      <c r="W24" s="88">
        <f>51*2.25</f>
        <v>114.75</v>
      </c>
      <c r="X24" s="76"/>
      <c r="Y24" s="4"/>
      <c r="Z24" s="4"/>
    </row>
    <row r="25" spans="1:26" x14ac:dyDescent="0.3">
      <c r="A25" s="91" t="s">
        <v>189</v>
      </c>
      <c r="B25" s="61"/>
      <c r="C25" s="61"/>
      <c r="D25" s="90"/>
      <c r="E25" s="62"/>
      <c r="F25" s="66" t="s">
        <v>188</v>
      </c>
      <c r="G25" s="61" t="s">
        <v>42</v>
      </c>
      <c r="H25" s="61"/>
      <c r="I25" s="61"/>
      <c r="J25" s="61"/>
      <c r="K25" s="61"/>
      <c r="L25" s="61">
        <v>31</v>
      </c>
      <c r="M25" s="61"/>
      <c r="N25" s="62"/>
      <c r="O25" s="80">
        <v>3.75</v>
      </c>
      <c r="P25" s="81">
        <v>4.5</v>
      </c>
      <c r="Q25" s="82">
        <f t="shared" si="4"/>
        <v>116.25</v>
      </c>
      <c r="R25" s="83">
        <f t="shared" si="2"/>
        <v>139.5</v>
      </c>
      <c r="S25" s="84">
        <v>116.25</v>
      </c>
      <c r="T25" s="85">
        <v>139.5</v>
      </c>
      <c r="U25" s="73"/>
      <c r="V25" s="74"/>
      <c r="W25" s="75"/>
      <c r="X25" s="76"/>
      <c r="Y25" s="4"/>
      <c r="Z25" s="4"/>
    </row>
    <row r="26" spans="1:26" x14ac:dyDescent="0.3">
      <c r="A26" s="91" t="s">
        <v>160</v>
      </c>
      <c r="B26" s="61"/>
      <c r="C26" s="61"/>
      <c r="D26" s="90"/>
      <c r="E26" s="62"/>
      <c r="F26" s="66" t="s">
        <v>158</v>
      </c>
      <c r="G26" s="61" t="s">
        <v>159</v>
      </c>
      <c r="H26" s="61"/>
      <c r="I26" s="61"/>
      <c r="J26" s="61"/>
      <c r="K26" s="61"/>
      <c r="L26" s="61">
        <v>44</v>
      </c>
      <c r="M26" s="61"/>
      <c r="N26" s="62"/>
      <c r="O26" s="80">
        <v>7.5</v>
      </c>
      <c r="P26" s="81">
        <v>9</v>
      </c>
      <c r="Q26" s="82">
        <f t="shared" si="4"/>
        <v>330</v>
      </c>
      <c r="R26" s="83">
        <f t="shared" si="2"/>
        <v>396</v>
      </c>
      <c r="S26" s="84">
        <f>Q26-V26</f>
        <v>191.4</v>
      </c>
      <c r="T26" s="85">
        <f>R26-V26</f>
        <v>257.39999999999998</v>
      </c>
      <c r="U26" s="122">
        <v>138.6</v>
      </c>
      <c r="V26" s="87">
        <v>138.6</v>
      </c>
      <c r="W26" s="75"/>
      <c r="X26" s="76"/>
      <c r="Y26" s="4"/>
      <c r="Z26" s="4"/>
    </row>
    <row r="27" spans="1:26" x14ac:dyDescent="0.3">
      <c r="A27" s="60"/>
      <c r="B27" s="5" t="s">
        <v>144</v>
      </c>
      <c r="C27" s="61"/>
      <c r="D27" s="90"/>
      <c r="E27" s="62"/>
      <c r="F27" s="66" t="s">
        <v>161</v>
      </c>
      <c r="G27" s="61" t="s">
        <v>108</v>
      </c>
      <c r="H27" s="61"/>
      <c r="I27" s="61"/>
      <c r="J27" s="61"/>
      <c r="K27" s="61"/>
      <c r="L27" s="61">
        <v>13</v>
      </c>
      <c r="M27" s="61"/>
      <c r="N27" s="62"/>
      <c r="O27" s="80">
        <v>3.75</v>
      </c>
      <c r="P27" s="81">
        <v>4.5</v>
      </c>
      <c r="Q27" s="82">
        <f t="shared" si="4"/>
        <v>48.75</v>
      </c>
      <c r="R27" s="83">
        <f t="shared" si="2"/>
        <v>58.5</v>
      </c>
      <c r="S27" s="84">
        <v>48.75</v>
      </c>
      <c r="T27" s="85">
        <v>58.5</v>
      </c>
      <c r="U27" s="73"/>
      <c r="V27" s="74"/>
      <c r="W27" s="75"/>
      <c r="X27" s="76"/>
      <c r="Y27" s="4"/>
      <c r="Z27" s="4"/>
    </row>
    <row r="28" spans="1:26" x14ac:dyDescent="0.3">
      <c r="A28" s="60" t="s">
        <v>141</v>
      </c>
      <c r="B28" s="61"/>
      <c r="C28" s="61"/>
      <c r="D28" s="90"/>
      <c r="E28" s="62"/>
      <c r="F28" s="66" t="s">
        <v>162</v>
      </c>
      <c r="G28" s="61" t="s">
        <v>42</v>
      </c>
      <c r="H28" s="61"/>
      <c r="I28" s="61"/>
      <c r="J28" s="61"/>
      <c r="K28" s="61"/>
      <c r="L28" s="61">
        <v>46</v>
      </c>
      <c r="M28" s="61"/>
      <c r="N28" s="62"/>
      <c r="O28" s="80">
        <v>3.75</v>
      </c>
      <c r="P28" s="81">
        <v>4.5</v>
      </c>
      <c r="Q28" s="82">
        <f t="shared" si="4"/>
        <v>172.5</v>
      </c>
      <c r="R28" s="83">
        <f t="shared" si="2"/>
        <v>207</v>
      </c>
      <c r="S28" s="84">
        <v>172.5</v>
      </c>
      <c r="T28" s="85">
        <v>207</v>
      </c>
      <c r="U28" s="73"/>
      <c r="V28" s="74"/>
      <c r="W28" s="75"/>
      <c r="X28" s="76"/>
      <c r="Y28" s="4"/>
      <c r="Z28" s="4"/>
    </row>
    <row r="29" spans="1:26" x14ac:dyDescent="0.3">
      <c r="A29" s="91" t="s">
        <v>163</v>
      </c>
      <c r="B29" s="61"/>
      <c r="C29" s="61"/>
      <c r="D29" s="90"/>
      <c r="E29" s="62"/>
      <c r="F29" s="66" t="s">
        <v>164</v>
      </c>
      <c r="G29" s="61" t="s">
        <v>42</v>
      </c>
      <c r="H29" s="61"/>
      <c r="I29" s="61"/>
      <c r="J29" s="61"/>
      <c r="K29" s="61"/>
      <c r="L29" s="61">
        <v>24</v>
      </c>
      <c r="M29" s="61"/>
      <c r="N29" s="62"/>
      <c r="O29" s="80">
        <v>3.75</v>
      </c>
      <c r="P29" s="81">
        <v>4.5</v>
      </c>
      <c r="Q29" s="82">
        <f t="shared" si="4"/>
        <v>90</v>
      </c>
      <c r="R29" s="83">
        <f t="shared" si="2"/>
        <v>108</v>
      </c>
      <c r="S29" s="84">
        <v>90</v>
      </c>
      <c r="T29" s="85">
        <v>108</v>
      </c>
      <c r="U29" s="73"/>
      <c r="V29" s="74"/>
      <c r="W29" s="75"/>
      <c r="X29" s="76"/>
      <c r="Y29" s="4"/>
      <c r="Z29" s="4"/>
    </row>
    <row r="30" spans="1:26" x14ac:dyDescent="0.3">
      <c r="A30" s="91" t="s">
        <v>166</v>
      </c>
      <c r="B30" s="61"/>
      <c r="C30" s="61"/>
      <c r="D30" s="90"/>
      <c r="E30" s="62"/>
      <c r="F30" s="66" t="s">
        <v>165</v>
      </c>
      <c r="G30" s="61" t="s">
        <v>42</v>
      </c>
      <c r="H30" s="61"/>
      <c r="I30" s="61"/>
      <c r="J30" s="61"/>
      <c r="K30" s="61"/>
      <c r="L30" s="61">
        <v>25</v>
      </c>
      <c r="M30" s="61"/>
      <c r="N30" s="62"/>
      <c r="O30" s="80">
        <v>3.5</v>
      </c>
      <c r="P30" s="81">
        <v>4.2</v>
      </c>
      <c r="Q30" s="82">
        <f t="shared" si="4"/>
        <v>87.5</v>
      </c>
      <c r="R30" s="83">
        <f t="shared" ref="R30:R52" si="5">P30*L30</f>
        <v>105</v>
      </c>
      <c r="S30" s="84">
        <v>87.5</v>
      </c>
      <c r="T30" s="85">
        <v>105</v>
      </c>
      <c r="U30" s="73"/>
      <c r="V30" s="74"/>
      <c r="W30" s="75"/>
      <c r="X30" s="76"/>
      <c r="Y30" s="4"/>
      <c r="Z30" s="4"/>
    </row>
    <row r="31" spans="1:26" x14ac:dyDescent="0.3">
      <c r="A31" s="91" t="s">
        <v>168</v>
      </c>
      <c r="B31" s="61"/>
      <c r="C31" s="61"/>
      <c r="D31" s="90"/>
      <c r="E31" s="62"/>
      <c r="F31" s="66" t="s">
        <v>165</v>
      </c>
      <c r="G31" s="92" t="s">
        <v>169</v>
      </c>
      <c r="H31" s="61"/>
      <c r="I31" s="61"/>
      <c r="J31" s="61"/>
      <c r="K31" s="61"/>
      <c r="L31" s="61">
        <v>20</v>
      </c>
      <c r="M31" s="61"/>
      <c r="N31" s="62"/>
      <c r="O31" s="80">
        <v>29.166</v>
      </c>
      <c r="P31" s="81">
        <v>35</v>
      </c>
      <c r="Q31" s="82">
        <f t="shared" si="4"/>
        <v>583.32000000000005</v>
      </c>
      <c r="R31" s="83">
        <f t="shared" si="5"/>
        <v>700</v>
      </c>
      <c r="S31" s="84">
        <f>Q31-U31</f>
        <v>36.990000000000123</v>
      </c>
      <c r="T31" s="85">
        <f>R31-V31</f>
        <v>97</v>
      </c>
      <c r="U31" s="77">
        <f>63+83.33+400</f>
        <v>546.32999999999993</v>
      </c>
      <c r="V31" s="78">
        <v>603</v>
      </c>
      <c r="W31" s="75"/>
      <c r="X31" s="76"/>
      <c r="Y31" s="4"/>
      <c r="Z31" s="4"/>
    </row>
    <row r="32" spans="1:26" x14ac:dyDescent="0.3">
      <c r="A32" s="35" t="s">
        <v>136</v>
      </c>
      <c r="B32" s="5" t="s">
        <v>137</v>
      </c>
      <c r="C32" s="61"/>
      <c r="D32" s="90"/>
      <c r="E32" s="62"/>
      <c r="F32" s="66" t="s">
        <v>167</v>
      </c>
      <c r="G32" s="61" t="s">
        <v>42</v>
      </c>
      <c r="H32" s="61"/>
      <c r="I32" s="61"/>
      <c r="J32" s="61"/>
      <c r="K32" s="61"/>
      <c r="L32" s="61">
        <v>8</v>
      </c>
      <c r="M32" s="61"/>
      <c r="N32" s="62"/>
      <c r="O32" s="80">
        <v>3.75</v>
      </c>
      <c r="P32" s="81">
        <v>4.5</v>
      </c>
      <c r="Q32" s="82">
        <f t="shared" si="4"/>
        <v>30</v>
      </c>
      <c r="R32" s="83">
        <f t="shared" si="5"/>
        <v>36</v>
      </c>
      <c r="S32" s="84">
        <v>30</v>
      </c>
      <c r="T32" s="85">
        <v>36</v>
      </c>
      <c r="U32" s="73"/>
      <c r="V32" s="74"/>
      <c r="W32" s="75"/>
      <c r="X32" s="76"/>
      <c r="Y32" s="4"/>
      <c r="Z32" s="4"/>
    </row>
    <row r="33" spans="1:26" x14ac:dyDescent="0.3">
      <c r="A33" s="60" t="s">
        <v>171</v>
      </c>
      <c r="B33" s="61"/>
      <c r="C33" s="61"/>
      <c r="D33" s="90"/>
      <c r="E33" s="62"/>
      <c r="F33" s="66" t="s">
        <v>170</v>
      </c>
      <c r="G33" s="61" t="s">
        <v>172</v>
      </c>
      <c r="H33" s="61"/>
      <c r="I33" s="61"/>
      <c r="J33" s="61"/>
      <c r="K33" s="61"/>
      <c r="L33" s="61">
        <v>115</v>
      </c>
      <c r="M33" s="61"/>
      <c r="N33" s="62"/>
      <c r="O33" s="80">
        <v>5</v>
      </c>
      <c r="P33" s="81">
        <v>6</v>
      </c>
      <c r="Q33" s="82">
        <f t="shared" si="4"/>
        <v>575</v>
      </c>
      <c r="R33" s="83">
        <f t="shared" si="5"/>
        <v>690</v>
      </c>
      <c r="S33" s="84">
        <f>T33-V33</f>
        <v>345</v>
      </c>
      <c r="T33" s="85">
        <f>R33-W33</f>
        <v>517.5</v>
      </c>
      <c r="U33" s="122">
        <v>172.5</v>
      </c>
      <c r="V33" s="87">
        <f>W33</f>
        <v>172.5</v>
      </c>
      <c r="W33" s="88">
        <f>L33*1.5</f>
        <v>172.5</v>
      </c>
      <c r="X33" s="76"/>
      <c r="Y33" s="4"/>
      <c r="Z33" s="4"/>
    </row>
    <row r="34" spans="1:26" x14ac:dyDescent="0.3">
      <c r="A34" s="60" t="s">
        <v>392</v>
      </c>
      <c r="B34" s="61"/>
      <c r="C34" s="61"/>
      <c r="D34" s="90"/>
      <c r="E34" s="62"/>
      <c r="F34" s="66" t="s">
        <v>391</v>
      </c>
      <c r="G34" s="61" t="s">
        <v>155</v>
      </c>
      <c r="H34" s="61"/>
      <c r="I34" s="61"/>
      <c r="J34" s="61"/>
      <c r="K34" s="61"/>
      <c r="L34" s="61">
        <v>28</v>
      </c>
      <c r="M34" s="61"/>
      <c r="N34" s="62"/>
      <c r="O34" s="80">
        <v>0</v>
      </c>
      <c r="P34" s="81">
        <v>0</v>
      </c>
      <c r="Q34" s="82">
        <f t="shared" si="4"/>
        <v>0</v>
      </c>
      <c r="R34" s="83">
        <f t="shared" si="5"/>
        <v>0</v>
      </c>
      <c r="S34" s="84">
        <v>0</v>
      </c>
      <c r="T34" s="85">
        <v>0</v>
      </c>
      <c r="U34" s="73"/>
      <c r="V34" s="74"/>
      <c r="W34" s="75"/>
      <c r="X34" s="76"/>
      <c r="Y34" s="4"/>
      <c r="Z34" s="4"/>
    </row>
    <row r="35" spans="1:26" x14ac:dyDescent="0.3">
      <c r="A35" s="60" t="s">
        <v>174</v>
      </c>
      <c r="B35" s="61"/>
      <c r="C35" s="61"/>
      <c r="D35" s="90"/>
      <c r="E35" s="62"/>
      <c r="F35" s="66" t="s">
        <v>173</v>
      </c>
      <c r="G35" s="61" t="s">
        <v>175</v>
      </c>
      <c r="H35" s="61"/>
      <c r="I35" s="61"/>
      <c r="J35" s="61"/>
      <c r="K35" s="61"/>
      <c r="L35" s="61">
        <v>28</v>
      </c>
      <c r="M35" s="61"/>
      <c r="N35" s="62"/>
      <c r="O35" s="80">
        <v>7.5</v>
      </c>
      <c r="P35" s="81">
        <v>9</v>
      </c>
      <c r="Q35" s="82">
        <f t="shared" si="4"/>
        <v>210</v>
      </c>
      <c r="R35" s="83">
        <f t="shared" si="5"/>
        <v>252</v>
      </c>
      <c r="S35" s="84">
        <v>210</v>
      </c>
      <c r="T35" s="85">
        <v>252</v>
      </c>
      <c r="U35" s="73"/>
      <c r="V35" s="74"/>
      <c r="W35" s="75"/>
      <c r="X35" s="76"/>
      <c r="Y35" s="4"/>
      <c r="Z35" s="4"/>
    </row>
    <row r="36" spans="1:26" x14ac:dyDescent="0.3">
      <c r="A36" s="60" t="s">
        <v>392</v>
      </c>
      <c r="B36" s="61"/>
      <c r="C36" s="61"/>
      <c r="D36" s="90"/>
      <c r="E36" s="62"/>
      <c r="F36" s="66" t="s">
        <v>393</v>
      </c>
      <c r="G36" s="61" t="s">
        <v>155</v>
      </c>
      <c r="H36" s="61"/>
      <c r="I36" s="61"/>
      <c r="J36" s="61"/>
      <c r="K36" s="61"/>
      <c r="L36" s="61">
        <v>28</v>
      </c>
      <c r="M36" s="61"/>
      <c r="N36" s="62"/>
      <c r="O36" s="80">
        <v>0</v>
      </c>
      <c r="P36" s="81">
        <v>0</v>
      </c>
      <c r="Q36" s="82">
        <f t="shared" ref="Q36" si="6">L36*O36</f>
        <v>0</v>
      </c>
      <c r="R36" s="83">
        <f t="shared" ref="R36" si="7">P36*L36</f>
        <v>0</v>
      </c>
      <c r="S36" s="84">
        <v>0</v>
      </c>
      <c r="T36" s="85">
        <v>0</v>
      </c>
      <c r="U36" s="73"/>
      <c r="V36" s="74"/>
      <c r="W36" s="75"/>
      <c r="X36" s="76"/>
      <c r="Y36" s="4"/>
      <c r="Z36" s="4"/>
    </row>
    <row r="37" spans="1:26" x14ac:dyDescent="0.3">
      <c r="A37" s="60" t="s">
        <v>392</v>
      </c>
      <c r="B37" s="61"/>
      <c r="C37" s="61"/>
      <c r="D37" s="90"/>
      <c r="E37" s="62"/>
      <c r="F37" s="66" t="s">
        <v>394</v>
      </c>
      <c r="G37" s="61" t="s">
        <v>155</v>
      </c>
      <c r="H37" s="61"/>
      <c r="I37" s="61"/>
      <c r="J37" s="61"/>
      <c r="K37" s="61"/>
      <c r="L37" s="61">
        <v>28</v>
      </c>
      <c r="M37" s="61"/>
      <c r="N37" s="62"/>
      <c r="O37" s="80">
        <v>0</v>
      </c>
      <c r="P37" s="81">
        <v>0</v>
      </c>
      <c r="Q37" s="82">
        <f t="shared" ref="Q37" si="8">L37*O37</f>
        <v>0</v>
      </c>
      <c r="R37" s="83">
        <f t="shared" ref="R37" si="9">P37*L37</f>
        <v>0</v>
      </c>
      <c r="S37" s="84">
        <v>0</v>
      </c>
      <c r="T37" s="85">
        <v>0</v>
      </c>
      <c r="U37" s="73"/>
      <c r="V37" s="74"/>
      <c r="W37" s="75"/>
      <c r="X37" s="76"/>
      <c r="Y37" s="4"/>
      <c r="Z37" s="4"/>
    </row>
    <row r="38" spans="1:26" x14ac:dyDescent="0.3">
      <c r="A38" s="60" t="s">
        <v>392</v>
      </c>
      <c r="B38" s="61"/>
      <c r="C38" s="61"/>
      <c r="D38" s="90"/>
      <c r="E38" s="62"/>
      <c r="F38" s="66" t="s">
        <v>395</v>
      </c>
      <c r="G38" s="61" t="s">
        <v>155</v>
      </c>
      <c r="H38" s="61"/>
      <c r="I38" s="61"/>
      <c r="J38" s="61"/>
      <c r="K38" s="61"/>
      <c r="L38" s="61">
        <v>28</v>
      </c>
      <c r="M38" s="61"/>
      <c r="N38" s="62"/>
      <c r="O38" s="80">
        <v>0</v>
      </c>
      <c r="P38" s="81">
        <v>0</v>
      </c>
      <c r="Q38" s="82">
        <f t="shared" ref="Q38" si="10">L38*O38</f>
        <v>0</v>
      </c>
      <c r="R38" s="83">
        <f t="shared" ref="R38" si="11">P38*L38</f>
        <v>0</v>
      </c>
      <c r="S38" s="84">
        <v>0</v>
      </c>
      <c r="T38" s="85">
        <v>0</v>
      </c>
      <c r="U38" s="73"/>
      <c r="V38" s="74"/>
      <c r="W38" s="75"/>
      <c r="X38" s="76"/>
      <c r="Y38" s="4"/>
      <c r="Z38" s="4"/>
    </row>
    <row r="39" spans="1:26" x14ac:dyDescent="0.3">
      <c r="A39" s="60" t="s">
        <v>392</v>
      </c>
      <c r="B39" s="61"/>
      <c r="C39" s="61"/>
      <c r="D39" s="90"/>
      <c r="E39" s="62"/>
      <c r="F39" s="66" t="s">
        <v>395</v>
      </c>
      <c r="G39" s="61" t="s">
        <v>155</v>
      </c>
      <c r="H39" s="61"/>
      <c r="I39" s="61"/>
      <c r="J39" s="61"/>
      <c r="K39" s="61"/>
      <c r="L39" s="61">
        <v>26</v>
      </c>
      <c r="M39" s="61"/>
      <c r="N39" s="62"/>
      <c r="O39" s="80">
        <v>0</v>
      </c>
      <c r="P39" s="81">
        <v>0</v>
      </c>
      <c r="Q39" s="82">
        <f t="shared" ref="Q39" si="12">L39*O39</f>
        <v>0</v>
      </c>
      <c r="R39" s="83">
        <f t="shared" ref="R39" si="13">P39*L39</f>
        <v>0</v>
      </c>
      <c r="S39" s="84">
        <v>0</v>
      </c>
      <c r="T39" s="85">
        <v>0</v>
      </c>
      <c r="U39" s="73"/>
      <c r="V39" s="74"/>
      <c r="W39" s="75"/>
      <c r="X39" s="76"/>
      <c r="Y39" s="4"/>
      <c r="Z39" s="4"/>
    </row>
    <row r="40" spans="1:26" x14ac:dyDescent="0.3">
      <c r="A40" s="60" t="s">
        <v>392</v>
      </c>
      <c r="B40" s="61"/>
      <c r="C40" s="61"/>
      <c r="D40" s="90"/>
      <c r="E40" s="62"/>
      <c r="F40" s="66" t="s">
        <v>396</v>
      </c>
      <c r="G40" s="61" t="s">
        <v>155</v>
      </c>
      <c r="H40" s="61"/>
      <c r="I40" s="61"/>
      <c r="J40" s="61"/>
      <c r="K40" s="61"/>
      <c r="L40" s="61">
        <v>26</v>
      </c>
      <c r="M40" s="61"/>
      <c r="N40" s="62"/>
      <c r="O40" s="80">
        <v>0</v>
      </c>
      <c r="P40" s="81">
        <v>0</v>
      </c>
      <c r="Q40" s="82">
        <f t="shared" ref="Q40" si="14">L40*O40</f>
        <v>0</v>
      </c>
      <c r="R40" s="83">
        <f t="shared" ref="R40" si="15">P40*L40</f>
        <v>0</v>
      </c>
      <c r="S40" s="84">
        <v>0</v>
      </c>
      <c r="T40" s="85">
        <v>0</v>
      </c>
      <c r="U40" s="73"/>
      <c r="V40" s="74"/>
      <c r="W40" s="75"/>
      <c r="X40" s="76"/>
      <c r="Y40" s="4"/>
      <c r="Z40" s="4"/>
    </row>
    <row r="41" spans="1:26" x14ac:dyDescent="0.3">
      <c r="A41" s="60" t="s">
        <v>176</v>
      </c>
      <c r="B41" s="61"/>
      <c r="C41" s="61"/>
      <c r="D41" s="90"/>
      <c r="E41" s="62"/>
      <c r="F41" s="66" t="s">
        <v>177</v>
      </c>
      <c r="G41" s="61" t="s">
        <v>178</v>
      </c>
      <c r="H41" s="61"/>
      <c r="I41" s="61"/>
      <c r="J41" s="61"/>
      <c r="K41" s="61"/>
      <c r="L41" s="61">
        <v>17</v>
      </c>
      <c r="M41" s="61"/>
      <c r="N41" s="62"/>
      <c r="O41" s="80">
        <v>4.1665999999999999</v>
      </c>
      <c r="P41" s="81">
        <v>5</v>
      </c>
      <c r="Q41" s="82">
        <f t="shared" si="4"/>
        <v>70.8322</v>
      </c>
      <c r="R41" s="83">
        <f t="shared" si="5"/>
        <v>85</v>
      </c>
      <c r="S41" s="84">
        <v>70.83</v>
      </c>
      <c r="T41" s="85">
        <v>85</v>
      </c>
      <c r="U41" s="73"/>
      <c r="V41" s="74"/>
      <c r="W41" s="75"/>
      <c r="X41" s="76"/>
      <c r="Y41" s="4"/>
      <c r="Z41" s="4"/>
    </row>
    <row r="42" spans="1:26" x14ac:dyDescent="0.3">
      <c r="A42" s="60" t="s">
        <v>179</v>
      </c>
      <c r="B42" s="61"/>
      <c r="C42" s="61"/>
      <c r="D42" s="90"/>
      <c r="E42" s="62"/>
      <c r="F42" s="66" t="s">
        <v>181</v>
      </c>
      <c r="G42" s="61" t="s">
        <v>42</v>
      </c>
      <c r="H42" s="61"/>
      <c r="I42" s="61"/>
      <c r="J42" s="61"/>
      <c r="K42" s="61"/>
      <c r="L42" s="61">
        <v>34</v>
      </c>
      <c r="M42" s="61"/>
      <c r="N42" s="62"/>
      <c r="O42" s="80">
        <v>3.75</v>
      </c>
      <c r="P42" s="81">
        <v>4.5</v>
      </c>
      <c r="Q42" s="82">
        <f t="shared" si="4"/>
        <v>127.5</v>
      </c>
      <c r="R42" s="83">
        <f t="shared" si="5"/>
        <v>153</v>
      </c>
      <c r="S42" s="84">
        <v>127.5</v>
      </c>
      <c r="T42" s="85">
        <v>153</v>
      </c>
      <c r="U42" s="73"/>
      <c r="V42" s="74"/>
      <c r="W42" s="75"/>
      <c r="X42" s="76"/>
      <c r="Y42" s="4"/>
      <c r="Z42" s="4"/>
    </row>
    <row r="43" spans="1:26" x14ac:dyDescent="0.3">
      <c r="A43" s="60" t="s">
        <v>179</v>
      </c>
      <c r="B43" s="61"/>
      <c r="C43" s="61"/>
      <c r="D43" s="90"/>
      <c r="E43" s="62"/>
      <c r="F43" s="66" t="s">
        <v>182</v>
      </c>
      <c r="G43" s="61" t="s">
        <v>42</v>
      </c>
      <c r="H43" s="61"/>
      <c r="I43" s="61"/>
      <c r="J43" s="61"/>
      <c r="K43" s="61"/>
      <c r="L43" s="61">
        <v>21</v>
      </c>
      <c r="M43" s="61"/>
      <c r="N43" s="62"/>
      <c r="O43" s="80">
        <v>3.75</v>
      </c>
      <c r="P43" s="81">
        <v>4.5</v>
      </c>
      <c r="Q43" s="82">
        <f t="shared" si="4"/>
        <v>78.75</v>
      </c>
      <c r="R43" s="83">
        <f t="shared" si="5"/>
        <v>94.5</v>
      </c>
      <c r="S43" s="84">
        <v>78.75</v>
      </c>
      <c r="T43" s="85">
        <v>94.5</v>
      </c>
      <c r="U43" s="73"/>
      <c r="V43" s="74"/>
      <c r="W43" s="75"/>
      <c r="X43" s="76"/>
      <c r="Y43" s="4"/>
      <c r="Z43" s="4"/>
    </row>
    <row r="44" spans="1:26" x14ac:dyDescent="0.3">
      <c r="A44" s="60" t="s">
        <v>183</v>
      </c>
      <c r="B44" s="61"/>
      <c r="C44" s="61"/>
      <c r="D44" s="90"/>
      <c r="E44" s="62"/>
      <c r="F44" s="66" t="s">
        <v>184</v>
      </c>
      <c r="G44" s="61" t="s">
        <v>185</v>
      </c>
      <c r="H44" s="61"/>
      <c r="I44" s="61"/>
      <c r="J44" s="61"/>
      <c r="K44" s="61"/>
      <c r="L44" s="61">
        <v>16</v>
      </c>
      <c r="M44" s="61"/>
      <c r="N44" s="62"/>
      <c r="O44" s="80">
        <v>11.25</v>
      </c>
      <c r="P44" s="81">
        <v>13.5</v>
      </c>
      <c r="Q44" s="82">
        <f t="shared" si="4"/>
        <v>180</v>
      </c>
      <c r="R44" s="83">
        <f t="shared" si="5"/>
        <v>216</v>
      </c>
      <c r="S44" s="84">
        <f>Q44-V44</f>
        <v>140</v>
      </c>
      <c r="T44" s="85">
        <f>R44-V44</f>
        <v>176</v>
      </c>
      <c r="U44" s="86">
        <v>40</v>
      </c>
      <c r="V44" s="87">
        <v>40</v>
      </c>
      <c r="W44" s="75"/>
      <c r="X44" s="89">
        <f>L44*2.5</f>
        <v>40</v>
      </c>
      <c r="Y44" s="4"/>
      <c r="Z44" s="4"/>
    </row>
    <row r="45" spans="1:26" x14ac:dyDescent="0.3">
      <c r="A45" s="60" t="s">
        <v>187</v>
      </c>
      <c r="B45" s="61"/>
      <c r="C45" s="61"/>
      <c r="D45" s="90"/>
      <c r="E45" s="62"/>
      <c r="F45" s="66"/>
      <c r="G45" s="61" t="s">
        <v>108</v>
      </c>
      <c r="H45" s="61"/>
      <c r="I45" s="61"/>
      <c r="J45" s="61"/>
      <c r="K45" s="61"/>
      <c r="L45" s="61">
        <v>27</v>
      </c>
      <c r="M45" s="61"/>
      <c r="N45" s="62"/>
      <c r="O45" s="80">
        <v>3.75</v>
      </c>
      <c r="P45" s="81">
        <v>4.5</v>
      </c>
      <c r="Q45" s="82">
        <f t="shared" si="4"/>
        <v>101.25</v>
      </c>
      <c r="R45" s="83">
        <f t="shared" si="5"/>
        <v>121.5</v>
      </c>
      <c r="S45" s="84">
        <v>101.25</v>
      </c>
      <c r="T45" s="85">
        <v>121.5</v>
      </c>
      <c r="U45" s="73"/>
      <c r="V45" s="74"/>
      <c r="W45" s="75"/>
      <c r="X45" s="76"/>
      <c r="Y45" s="4"/>
      <c r="Z45" s="4"/>
    </row>
    <row r="46" spans="1:26" x14ac:dyDescent="0.3">
      <c r="A46" s="91" t="s">
        <v>190</v>
      </c>
      <c r="B46" s="61"/>
      <c r="C46" s="61"/>
      <c r="D46" s="90"/>
      <c r="E46" s="62"/>
      <c r="F46" s="66" t="s">
        <v>191</v>
      </c>
      <c r="G46" s="61" t="s">
        <v>192</v>
      </c>
      <c r="H46" s="61"/>
      <c r="I46" s="61"/>
      <c r="J46" s="61"/>
      <c r="K46" s="61"/>
      <c r="L46" s="61">
        <v>79</v>
      </c>
      <c r="M46" s="61"/>
      <c r="N46" s="62"/>
      <c r="O46" s="80">
        <v>3.75</v>
      </c>
      <c r="P46" s="81">
        <v>4.5</v>
      </c>
      <c r="Q46" s="82">
        <f t="shared" si="4"/>
        <v>296.25</v>
      </c>
      <c r="R46" s="83">
        <f t="shared" si="5"/>
        <v>355.5</v>
      </c>
      <c r="S46" s="84">
        <f>Q46-X46</f>
        <v>98.75</v>
      </c>
      <c r="T46" s="85">
        <f>R46-V46</f>
        <v>158</v>
      </c>
      <c r="U46" s="86">
        <v>197.5</v>
      </c>
      <c r="V46" s="87">
        <v>197.5</v>
      </c>
      <c r="W46" s="75"/>
      <c r="X46" s="89">
        <f>79*2.5</f>
        <v>197.5</v>
      </c>
      <c r="Y46" s="4"/>
      <c r="Z46" s="4"/>
    </row>
    <row r="47" spans="1:26" x14ac:dyDescent="0.3">
      <c r="A47" s="60" t="s">
        <v>199</v>
      </c>
      <c r="B47" s="61"/>
      <c r="C47" s="61"/>
      <c r="D47" s="90"/>
      <c r="E47" s="62"/>
      <c r="F47" s="66" t="s">
        <v>198</v>
      </c>
      <c r="G47" s="61" t="s">
        <v>42</v>
      </c>
      <c r="H47" s="61"/>
      <c r="I47" s="61"/>
      <c r="J47" s="61"/>
      <c r="K47" s="61"/>
      <c r="L47" s="61">
        <v>10</v>
      </c>
      <c r="M47" s="61"/>
      <c r="N47" s="62"/>
      <c r="O47" s="80">
        <v>3.75</v>
      </c>
      <c r="P47" s="81">
        <v>4.5</v>
      </c>
      <c r="Q47" s="82">
        <f t="shared" si="4"/>
        <v>37.5</v>
      </c>
      <c r="R47" s="83">
        <f t="shared" si="5"/>
        <v>45</v>
      </c>
      <c r="S47" s="84">
        <v>37.5</v>
      </c>
      <c r="T47" s="85">
        <v>45</v>
      </c>
      <c r="U47" s="73"/>
      <c r="V47" s="74"/>
      <c r="W47" s="75"/>
      <c r="X47" s="76"/>
      <c r="Y47" s="4"/>
      <c r="Z47" s="4"/>
    </row>
    <row r="48" spans="1:26" x14ac:dyDescent="0.3">
      <c r="A48" s="91" t="s">
        <v>201</v>
      </c>
      <c r="B48" s="61"/>
      <c r="C48" s="61"/>
      <c r="D48" s="90"/>
      <c r="E48" s="62"/>
      <c r="F48" s="66" t="s">
        <v>200</v>
      </c>
      <c r="G48" s="61" t="s">
        <v>42</v>
      </c>
      <c r="H48" s="61"/>
      <c r="I48" s="61"/>
      <c r="J48" s="61"/>
      <c r="K48" s="61"/>
      <c r="L48" s="61">
        <v>29</v>
      </c>
      <c r="M48" s="61"/>
      <c r="N48" s="62"/>
      <c r="O48" s="80">
        <v>3.75</v>
      </c>
      <c r="P48" s="81">
        <v>4.5</v>
      </c>
      <c r="Q48" s="82">
        <f t="shared" si="4"/>
        <v>108.75</v>
      </c>
      <c r="R48" s="83">
        <f t="shared" si="5"/>
        <v>130.5</v>
      </c>
      <c r="S48" s="84">
        <v>108.75</v>
      </c>
      <c r="T48" s="85">
        <v>130.5</v>
      </c>
      <c r="U48" s="101"/>
      <c r="V48" s="102"/>
      <c r="W48" s="103"/>
      <c r="X48" s="104"/>
      <c r="Y48" s="4"/>
      <c r="Z48" s="4"/>
    </row>
    <row r="49" spans="1:26" x14ac:dyDescent="0.3">
      <c r="A49" s="60" t="s">
        <v>134</v>
      </c>
      <c r="B49" s="61"/>
      <c r="C49" s="61"/>
      <c r="D49" s="90"/>
      <c r="E49" s="62"/>
      <c r="F49" s="66" t="s">
        <v>202</v>
      </c>
      <c r="G49" s="61" t="s">
        <v>42</v>
      </c>
      <c r="H49" s="61"/>
      <c r="I49" s="61"/>
      <c r="J49" s="61"/>
      <c r="K49" s="61"/>
      <c r="L49" s="61">
        <v>32</v>
      </c>
      <c r="M49" s="61"/>
      <c r="N49" s="62"/>
      <c r="O49" s="80">
        <v>3.75</v>
      </c>
      <c r="P49" s="81">
        <v>4.5</v>
      </c>
      <c r="Q49" s="82">
        <f t="shared" si="4"/>
        <v>120</v>
      </c>
      <c r="R49" s="83">
        <f t="shared" si="5"/>
        <v>144</v>
      </c>
      <c r="S49" s="84">
        <v>120</v>
      </c>
      <c r="T49" s="85">
        <v>144</v>
      </c>
      <c r="U49" s="101"/>
      <c r="V49" s="102"/>
      <c r="W49" s="103"/>
      <c r="X49" s="104"/>
      <c r="Y49" s="4"/>
      <c r="Z49" s="4"/>
    </row>
    <row r="50" spans="1:26" x14ac:dyDescent="0.3">
      <c r="A50" s="60" t="s">
        <v>136</v>
      </c>
      <c r="B50" s="61"/>
      <c r="C50" s="61"/>
      <c r="D50" s="90"/>
      <c r="E50" s="62"/>
      <c r="F50" s="66" t="s">
        <v>203</v>
      </c>
      <c r="G50" s="61" t="s">
        <v>42</v>
      </c>
      <c r="H50" s="61"/>
      <c r="I50" s="61"/>
      <c r="J50" s="61"/>
      <c r="K50" s="61"/>
      <c r="L50" s="61">
        <v>3</v>
      </c>
      <c r="M50" s="61"/>
      <c r="N50" s="62"/>
      <c r="O50" s="80">
        <v>3.75</v>
      </c>
      <c r="P50" s="81">
        <v>4.5</v>
      </c>
      <c r="Q50" s="82">
        <f t="shared" si="4"/>
        <v>11.25</v>
      </c>
      <c r="R50" s="83">
        <f t="shared" si="5"/>
        <v>13.5</v>
      </c>
      <c r="S50" s="84">
        <v>11.25</v>
      </c>
      <c r="T50" s="85">
        <v>13.5</v>
      </c>
      <c r="U50" s="101"/>
      <c r="V50" s="102"/>
      <c r="W50" s="103"/>
      <c r="X50" s="104"/>
      <c r="Y50" s="4"/>
      <c r="Z50" s="4"/>
    </row>
    <row r="51" spans="1:26" ht="28.8" x14ac:dyDescent="0.3">
      <c r="A51" s="91" t="s">
        <v>205</v>
      </c>
      <c r="B51" s="61"/>
      <c r="C51" s="61"/>
      <c r="D51" s="90"/>
      <c r="E51" s="62"/>
      <c r="F51" s="66" t="s">
        <v>204</v>
      </c>
      <c r="G51" s="61" t="s">
        <v>206</v>
      </c>
      <c r="H51" s="61"/>
      <c r="I51" s="61"/>
      <c r="J51" s="61"/>
      <c r="K51" s="61"/>
      <c r="L51" s="61">
        <v>35</v>
      </c>
      <c r="M51" s="61"/>
      <c r="N51" s="62"/>
      <c r="O51" s="80">
        <v>12.083299999999999</v>
      </c>
      <c r="P51" s="81">
        <v>14.5</v>
      </c>
      <c r="Q51" s="82">
        <f t="shared" si="4"/>
        <v>422.91550000000001</v>
      </c>
      <c r="R51" s="83">
        <f t="shared" si="5"/>
        <v>507.5</v>
      </c>
      <c r="S51" s="84">
        <f>Q51-V51</f>
        <v>344.16550000000001</v>
      </c>
      <c r="T51" s="85">
        <f>R51-V51</f>
        <v>428.75</v>
      </c>
      <c r="U51" s="121">
        <v>78.75</v>
      </c>
      <c r="V51" s="87">
        <v>78.75</v>
      </c>
      <c r="W51" s="88">
        <f>L51*2.25</f>
        <v>78.75</v>
      </c>
      <c r="X51" s="104"/>
      <c r="Y51" s="4"/>
      <c r="Z51" s="4"/>
    </row>
    <row r="52" spans="1:26" x14ac:dyDescent="0.3">
      <c r="A52" s="91" t="s">
        <v>207</v>
      </c>
      <c r="B52" s="61"/>
      <c r="C52" s="61"/>
      <c r="D52" s="90"/>
      <c r="E52" s="62"/>
      <c r="F52" s="66" t="s">
        <v>208</v>
      </c>
      <c r="G52" s="61" t="s">
        <v>209</v>
      </c>
      <c r="H52" s="61"/>
      <c r="I52" s="61"/>
      <c r="J52" s="61"/>
      <c r="K52" s="61"/>
      <c r="L52" s="61">
        <v>24</v>
      </c>
      <c r="M52" s="61"/>
      <c r="N52" s="62"/>
      <c r="O52" s="80">
        <v>8.3332999999999995</v>
      </c>
      <c r="P52" s="81">
        <v>10</v>
      </c>
      <c r="Q52" s="82">
        <f>L52*O52</f>
        <v>199.99919999999997</v>
      </c>
      <c r="R52" s="83">
        <f t="shared" si="5"/>
        <v>240</v>
      </c>
      <c r="S52" s="84">
        <f>Q52-V52</f>
        <v>85.999199999999973</v>
      </c>
      <c r="T52" s="85">
        <f>R52-V52</f>
        <v>126</v>
      </c>
      <c r="U52" s="121">
        <v>114</v>
      </c>
      <c r="V52" s="87">
        <f>W52+X52</f>
        <v>114</v>
      </c>
      <c r="W52" s="88">
        <f>L52*2.25</f>
        <v>54</v>
      </c>
      <c r="X52" s="89">
        <f>L52*2.5</f>
        <v>60</v>
      </c>
      <c r="Y52" s="4"/>
      <c r="Z52" s="4"/>
    </row>
    <row r="53" spans="1:26" x14ac:dyDescent="0.3">
      <c r="A53" s="447" t="s">
        <v>213</v>
      </c>
      <c r="B53" s="444"/>
      <c r="C53" s="444"/>
      <c r="D53" s="448"/>
      <c r="E53" s="450"/>
      <c r="F53" s="452" t="s">
        <v>212</v>
      </c>
      <c r="G53" s="114" t="s">
        <v>248</v>
      </c>
      <c r="H53" s="444"/>
      <c r="I53" s="444"/>
      <c r="J53" s="444"/>
      <c r="K53" s="444"/>
      <c r="L53" s="444">
        <v>3</v>
      </c>
      <c r="M53" s="61"/>
      <c r="N53" s="62"/>
      <c r="O53" s="80">
        <v>16.670000000000002</v>
      </c>
      <c r="P53" s="81">
        <v>20</v>
      </c>
      <c r="Q53" s="82">
        <v>50.01</v>
      </c>
      <c r="R53" s="83">
        <v>60.01</v>
      </c>
      <c r="S53" s="84">
        <f>Q53-U53</f>
        <v>0.9199999999999946</v>
      </c>
      <c r="T53" s="85">
        <f>R53-V53</f>
        <v>6.009999999999998</v>
      </c>
      <c r="U53" s="86">
        <f>49.09</f>
        <v>49.09</v>
      </c>
      <c r="V53" s="87">
        <f>3*18</f>
        <v>54</v>
      </c>
      <c r="W53" s="103"/>
      <c r="X53" s="104"/>
      <c r="Y53" s="4"/>
      <c r="Z53" s="4"/>
    </row>
    <row r="54" spans="1:26" x14ac:dyDescent="0.3">
      <c r="A54" s="433"/>
      <c r="B54" s="445"/>
      <c r="C54" s="445"/>
      <c r="D54" s="449"/>
      <c r="E54" s="451"/>
      <c r="F54" s="453"/>
      <c r="G54" s="114" t="s">
        <v>249</v>
      </c>
      <c r="H54" s="445"/>
      <c r="I54" s="445"/>
      <c r="J54" s="445"/>
      <c r="K54" s="445"/>
      <c r="L54" s="445"/>
      <c r="M54" s="61"/>
      <c r="N54" s="62"/>
      <c r="O54" s="80"/>
      <c r="P54" s="81"/>
      <c r="Q54" s="82">
        <v>103.33</v>
      </c>
      <c r="R54" s="83">
        <v>124</v>
      </c>
      <c r="S54" s="84">
        <f>Q54-U54</f>
        <v>0</v>
      </c>
      <c r="T54" s="85">
        <f>R54-V54</f>
        <v>0</v>
      </c>
      <c r="U54" s="86">
        <v>103.33</v>
      </c>
      <c r="V54" s="87">
        <v>124</v>
      </c>
      <c r="W54" s="103"/>
      <c r="X54" s="104"/>
      <c r="Y54" s="4"/>
      <c r="Z54" s="4"/>
    </row>
    <row r="55" spans="1:26" ht="31.2" customHeight="1" x14ac:dyDescent="0.3">
      <c r="A55" s="433"/>
      <c r="B55" s="445"/>
      <c r="C55" s="445"/>
      <c r="D55" s="449"/>
      <c r="E55" s="451"/>
      <c r="F55" s="453"/>
      <c r="G55" s="114" t="s">
        <v>250</v>
      </c>
      <c r="H55" s="445"/>
      <c r="I55" s="445"/>
      <c r="J55" s="445"/>
      <c r="K55" s="445"/>
      <c r="L55" s="446"/>
      <c r="M55" s="61"/>
      <c r="N55" s="62"/>
      <c r="O55" s="80">
        <v>4.67</v>
      </c>
      <c r="P55" s="81">
        <v>5.6</v>
      </c>
      <c r="Q55" s="82">
        <v>14.01</v>
      </c>
      <c r="R55" s="83">
        <v>16.8</v>
      </c>
      <c r="S55" s="84">
        <v>1.51</v>
      </c>
      <c r="T55" s="85">
        <v>1.8</v>
      </c>
      <c r="U55" s="86">
        <v>12.5</v>
      </c>
      <c r="V55" s="87">
        <v>15</v>
      </c>
      <c r="W55" s="103"/>
      <c r="X55" s="104"/>
      <c r="Y55" s="4"/>
      <c r="Z55" s="4"/>
    </row>
    <row r="56" spans="1:26" ht="51.6" customHeight="1" x14ac:dyDescent="0.3">
      <c r="A56" s="433"/>
      <c r="B56" s="445"/>
      <c r="C56" s="445"/>
      <c r="D56" s="449"/>
      <c r="E56" s="451"/>
      <c r="F56" s="453"/>
      <c r="G56" s="114" t="s">
        <v>247</v>
      </c>
      <c r="H56" s="445"/>
      <c r="I56" s="445"/>
      <c r="J56" s="445"/>
      <c r="K56" s="445"/>
      <c r="L56" s="61">
        <v>37</v>
      </c>
      <c r="M56" s="61"/>
      <c r="N56" s="62"/>
      <c r="O56" s="80">
        <v>36.666600000000003</v>
      </c>
      <c r="P56" s="81">
        <v>44</v>
      </c>
      <c r="Q56" s="82">
        <v>1356.66</v>
      </c>
      <c r="R56" s="83">
        <f>37*44</f>
        <v>1628</v>
      </c>
      <c r="S56" s="84">
        <f>Q56-U56</f>
        <v>273.29000000000019</v>
      </c>
      <c r="T56" s="85">
        <f>R56-V56</f>
        <v>453.25</v>
      </c>
      <c r="U56" s="86">
        <v>1083.3699999999999</v>
      </c>
      <c r="V56" s="87">
        <v>1174.75</v>
      </c>
      <c r="W56" s="88">
        <f>L56*2.25</f>
        <v>83.25</v>
      </c>
      <c r="X56" s="104"/>
      <c r="Y56" s="4"/>
      <c r="Z56" s="4"/>
    </row>
    <row r="57" spans="1:26" ht="32.4" customHeight="1" x14ac:dyDescent="0.3">
      <c r="A57" s="91" t="s">
        <v>211</v>
      </c>
      <c r="B57" s="61"/>
      <c r="C57" s="61"/>
      <c r="D57" s="90"/>
      <c r="E57" s="62"/>
      <c r="F57" s="66" t="s">
        <v>210</v>
      </c>
      <c r="G57" s="61" t="s">
        <v>42</v>
      </c>
      <c r="H57" s="61"/>
      <c r="I57" s="61"/>
      <c r="J57" s="61"/>
      <c r="K57" s="61"/>
      <c r="L57" s="61">
        <v>14</v>
      </c>
      <c r="M57" s="61"/>
      <c r="N57" s="62"/>
      <c r="O57" s="80">
        <v>3.75</v>
      </c>
      <c r="P57" s="81">
        <v>4.5</v>
      </c>
      <c r="Q57" s="82">
        <f t="shared" si="4"/>
        <v>52.5</v>
      </c>
      <c r="R57" s="83">
        <f>P57*L57</f>
        <v>63</v>
      </c>
      <c r="S57" s="84">
        <v>52.5</v>
      </c>
      <c r="T57" s="85">
        <v>63</v>
      </c>
      <c r="U57" s="101"/>
      <c r="V57" s="102"/>
      <c r="W57" s="103"/>
      <c r="X57" s="104"/>
      <c r="Y57" s="4"/>
      <c r="Z57" s="4"/>
    </row>
    <row r="58" spans="1:26" ht="32.4" customHeight="1" x14ac:dyDescent="0.3">
      <c r="A58" s="91" t="s">
        <v>215</v>
      </c>
      <c r="B58" s="61"/>
      <c r="C58" s="61"/>
      <c r="D58" s="90"/>
      <c r="E58" s="62"/>
      <c r="F58" s="66" t="s">
        <v>214</v>
      </c>
      <c r="G58" s="92" t="s">
        <v>242</v>
      </c>
      <c r="H58" s="61"/>
      <c r="I58" s="61"/>
      <c r="J58" s="61"/>
      <c r="K58" s="61"/>
      <c r="L58" s="61">
        <v>33</v>
      </c>
      <c r="M58" s="61"/>
      <c r="N58" s="62"/>
      <c r="O58" s="80">
        <v>31.25</v>
      </c>
      <c r="P58" s="81">
        <v>37.5</v>
      </c>
      <c r="Q58" s="82">
        <f>L58*O58</f>
        <v>1031.25</v>
      </c>
      <c r="R58" s="83">
        <f>L58*P58</f>
        <v>1237.5</v>
      </c>
      <c r="S58" s="84">
        <f>Q58-U58</f>
        <v>275.41999999999996</v>
      </c>
      <c r="T58" s="85">
        <f>R58-V58</f>
        <v>330.5</v>
      </c>
      <c r="U58" s="86">
        <v>755.83</v>
      </c>
      <c r="V58" s="87">
        <v>907</v>
      </c>
      <c r="W58" s="103"/>
      <c r="X58" s="104"/>
      <c r="Y58" s="120"/>
      <c r="Z58" s="120"/>
    </row>
    <row r="59" spans="1:26" ht="32.4" customHeight="1" x14ac:dyDescent="0.3">
      <c r="A59" s="91" t="s">
        <v>217</v>
      </c>
      <c r="B59" s="61"/>
      <c r="C59" s="61"/>
      <c r="D59" s="90"/>
      <c r="E59" s="62"/>
      <c r="F59" s="66" t="s">
        <v>216</v>
      </c>
      <c r="G59" s="61" t="s">
        <v>108</v>
      </c>
      <c r="H59" s="61"/>
      <c r="I59" s="61"/>
      <c r="J59" s="61"/>
      <c r="K59" s="61"/>
      <c r="L59" s="61">
        <v>4</v>
      </c>
      <c r="M59" s="61"/>
      <c r="N59" s="62"/>
      <c r="O59" s="80">
        <v>3.75</v>
      </c>
      <c r="P59" s="81">
        <v>4.5</v>
      </c>
      <c r="Q59" s="82">
        <f>L59*O59</f>
        <v>15</v>
      </c>
      <c r="R59" s="83">
        <f>P59*L59</f>
        <v>18</v>
      </c>
      <c r="S59" s="84">
        <v>15</v>
      </c>
      <c r="T59" s="85">
        <v>18</v>
      </c>
      <c r="U59" s="101"/>
      <c r="V59" s="102"/>
      <c r="W59" s="103"/>
      <c r="X59" s="104"/>
      <c r="Z59" s="4"/>
    </row>
    <row r="60" spans="1:26" ht="32.4" customHeight="1" x14ac:dyDescent="0.3">
      <c r="A60" s="91" t="s">
        <v>218</v>
      </c>
      <c r="B60" s="61"/>
      <c r="C60" s="61"/>
      <c r="D60" s="90"/>
      <c r="E60" s="62"/>
      <c r="F60" s="66" t="s">
        <v>219</v>
      </c>
      <c r="G60" s="61" t="s">
        <v>220</v>
      </c>
      <c r="H60" s="61"/>
      <c r="I60" s="61"/>
      <c r="J60" s="61"/>
      <c r="K60" s="61"/>
      <c r="L60" s="61">
        <v>37</v>
      </c>
      <c r="M60" s="61"/>
      <c r="N60" s="62"/>
      <c r="O60" s="80">
        <v>25</v>
      </c>
      <c r="P60" s="81">
        <v>30</v>
      </c>
      <c r="Q60" s="82">
        <f>(L60*O60)-46.25</f>
        <v>878.75</v>
      </c>
      <c r="R60" s="83">
        <f>(L60*P60)-55.5</f>
        <v>1054.5</v>
      </c>
      <c r="S60" s="84">
        <f>Q60-U60</f>
        <v>173.67999999999995</v>
      </c>
      <c r="T60" s="85">
        <f>R60-V60</f>
        <v>287.25</v>
      </c>
      <c r="U60" s="86">
        <f>621.82+W60</f>
        <v>705.07</v>
      </c>
      <c r="V60" s="87">
        <f>(38*18)+W60</f>
        <v>767.25</v>
      </c>
      <c r="W60" s="88">
        <f>L60*2.25</f>
        <v>83.25</v>
      </c>
      <c r="X60" s="104"/>
      <c r="Y60" s="4"/>
      <c r="Z60" s="4"/>
    </row>
    <row r="61" spans="1:26" ht="32.4" customHeight="1" x14ac:dyDescent="0.3">
      <c r="A61" s="91" t="s">
        <v>221</v>
      </c>
      <c r="B61" s="61"/>
      <c r="C61" s="61"/>
      <c r="D61" s="90"/>
      <c r="E61" s="62"/>
      <c r="F61" s="66" t="s">
        <v>223</v>
      </c>
      <c r="G61" s="61" t="s">
        <v>222</v>
      </c>
      <c r="H61" s="61"/>
      <c r="I61" s="61"/>
      <c r="J61" s="61"/>
      <c r="K61" s="61"/>
      <c r="L61" s="61">
        <v>11</v>
      </c>
      <c r="M61" s="61"/>
      <c r="N61" s="62"/>
      <c r="O61" s="80">
        <v>3.75</v>
      </c>
      <c r="P61" s="81">
        <v>4.5</v>
      </c>
      <c r="Q61" s="82">
        <f>L61*O61</f>
        <v>41.25</v>
      </c>
      <c r="R61" s="83">
        <f>L61*P61</f>
        <v>49.5</v>
      </c>
      <c r="S61" s="84">
        <v>41.25</v>
      </c>
      <c r="T61" s="85">
        <v>49.5</v>
      </c>
      <c r="U61" s="101"/>
      <c r="V61" s="102"/>
      <c r="W61" s="103"/>
      <c r="X61" s="104"/>
      <c r="Y61" s="4"/>
      <c r="Z61" s="4"/>
    </row>
    <row r="62" spans="1:26" x14ac:dyDescent="0.3">
      <c r="A62" s="91" t="s">
        <v>224</v>
      </c>
      <c r="B62" s="61"/>
      <c r="C62" s="61"/>
      <c r="D62" s="90"/>
      <c r="E62" s="62"/>
      <c r="F62" s="66" t="s">
        <v>225</v>
      </c>
      <c r="G62" s="61" t="s">
        <v>192</v>
      </c>
      <c r="H62" s="61"/>
      <c r="I62" s="61"/>
      <c r="J62" s="61"/>
      <c r="K62" s="61"/>
      <c r="L62" s="61">
        <v>17</v>
      </c>
      <c r="M62" s="61"/>
      <c r="N62" s="62"/>
      <c r="O62" s="80">
        <v>3.75</v>
      </c>
      <c r="P62" s="81">
        <v>4.5</v>
      </c>
      <c r="Q62" s="82">
        <f>L62*O62</f>
        <v>63.75</v>
      </c>
      <c r="R62" s="83">
        <f>L62*P62</f>
        <v>76.5</v>
      </c>
      <c r="S62" s="84">
        <f>Q62-U62</f>
        <v>21.25</v>
      </c>
      <c r="T62" s="85">
        <f>R62-V62</f>
        <v>34</v>
      </c>
      <c r="U62" s="86">
        <v>42.5</v>
      </c>
      <c r="V62" s="87">
        <v>42.5</v>
      </c>
      <c r="W62" s="103"/>
      <c r="X62" s="89">
        <f>L62*2.5</f>
        <v>42.5</v>
      </c>
      <c r="Y62" s="4"/>
      <c r="Z62" s="4"/>
    </row>
    <row r="63" spans="1:26" ht="37.200000000000003" customHeight="1" x14ac:dyDescent="0.3">
      <c r="A63" s="29" t="s">
        <v>226</v>
      </c>
      <c r="B63" s="5"/>
      <c r="C63" s="5"/>
      <c r="D63" s="3"/>
      <c r="E63" s="5"/>
      <c r="F63" s="166" t="s">
        <v>225</v>
      </c>
      <c r="G63" s="5" t="s">
        <v>192</v>
      </c>
      <c r="H63" s="5"/>
      <c r="I63" s="5"/>
      <c r="J63" s="5"/>
      <c r="K63" s="5"/>
      <c r="L63" s="5">
        <v>7</v>
      </c>
      <c r="M63" s="5"/>
      <c r="N63" s="5"/>
      <c r="O63" s="167">
        <v>3.75</v>
      </c>
      <c r="P63" s="68">
        <v>4.5</v>
      </c>
      <c r="Q63" s="69">
        <f>L63*O63</f>
        <v>26.25</v>
      </c>
      <c r="R63" s="70">
        <f>L63*P63</f>
        <v>31.5</v>
      </c>
      <c r="S63" s="71">
        <f>Q63-U63</f>
        <v>8.75</v>
      </c>
      <c r="T63" s="72">
        <f>R63-V63</f>
        <v>14</v>
      </c>
      <c r="U63" s="77">
        <v>17.5</v>
      </c>
      <c r="V63" s="78">
        <v>17.5</v>
      </c>
      <c r="W63" s="75"/>
      <c r="X63" s="168">
        <f>L63*2.5</f>
        <v>17.5</v>
      </c>
      <c r="Y63" s="4"/>
      <c r="Z63" s="4"/>
    </row>
    <row r="64" spans="1:26" ht="37.200000000000003" customHeight="1" x14ac:dyDescent="0.3">
      <c r="A64" s="29" t="s">
        <v>358</v>
      </c>
      <c r="B64" s="5"/>
      <c r="C64" s="5"/>
      <c r="D64" s="3"/>
      <c r="E64" s="5"/>
      <c r="F64" s="166"/>
      <c r="G64" s="5" t="s">
        <v>41</v>
      </c>
      <c r="H64" s="5"/>
      <c r="I64" s="5"/>
      <c r="J64" s="5"/>
      <c r="K64" s="5"/>
      <c r="L64" s="5">
        <v>632</v>
      </c>
      <c r="M64" s="5"/>
      <c r="N64" s="5"/>
      <c r="O64" s="167">
        <v>0</v>
      </c>
      <c r="P64" s="68">
        <v>0</v>
      </c>
      <c r="Q64" s="69">
        <f>L64*O64</f>
        <v>0</v>
      </c>
      <c r="R64" s="70">
        <v>0</v>
      </c>
      <c r="S64" s="71">
        <v>0</v>
      </c>
      <c r="T64" s="72">
        <v>0</v>
      </c>
      <c r="U64" s="77">
        <v>0</v>
      </c>
      <c r="V64" s="78">
        <v>0</v>
      </c>
      <c r="W64" s="75"/>
      <c r="X64" s="169"/>
      <c r="Y64" s="4"/>
      <c r="Z64" s="4"/>
    </row>
    <row r="65" spans="1:26" ht="15" thickBot="1" x14ac:dyDescent="0.35">
      <c r="A65" s="162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4">
        <f>SUM(L8:L64)</f>
        <v>2067</v>
      </c>
      <c r="M65" s="163"/>
      <c r="N65" s="163"/>
      <c r="O65" s="163"/>
      <c r="P65" s="163"/>
      <c r="Q65" s="165">
        <f>SUM(Q8:Q64)</f>
        <v>12364.82676</v>
      </c>
      <c r="R65" s="164">
        <f t="shared" ref="R65:X65" si="16">SUM(R8:R63)</f>
        <v>14837.81</v>
      </c>
      <c r="S65" s="165">
        <f>SUM(S8:S64)</f>
        <v>4932.8245600000009</v>
      </c>
      <c r="T65" s="164">
        <f t="shared" si="16"/>
        <v>6818.56</v>
      </c>
      <c r="U65" s="165">
        <f>SUM(U8:U64)</f>
        <v>7374.4999999999991</v>
      </c>
      <c r="V65" s="165">
        <f>SUM(V8:V63)</f>
        <v>8019.25</v>
      </c>
      <c r="W65" s="165">
        <f>SUM(W8:W63)</f>
        <v>710.25</v>
      </c>
      <c r="X65" s="164">
        <f t="shared" si="16"/>
        <v>357.5</v>
      </c>
      <c r="Y65" s="4"/>
      <c r="Z65" s="4"/>
    </row>
    <row r="66" spans="1:26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120">
        <f>S65+U65</f>
        <v>12307.324560000001</v>
      </c>
      <c r="R66" s="120">
        <f>T65+V65</f>
        <v>14837.810000000001</v>
      </c>
      <c r="S66" s="4"/>
      <c r="T66" s="4"/>
      <c r="U66" s="4"/>
      <c r="V66" s="4"/>
      <c r="W66" s="4"/>
      <c r="X66" s="4"/>
      <c r="Y66" s="4"/>
      <c r="Z66" s="4"/>
    </row>
    <row r="67" spans="1:26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120">
        <f>Q65-Q66</f>
        <v>57.502199999998993</v>
      </c>
      <c r="R67" s="120">
        <f>R65-R66</f>
        <v>0</v>
      </c>
      <c r="S67" s="4"/>
      <c r="T67" s="4"/>
      <c r="U67" s="4"/>
      <c r="V67" s="4"/>
      <c r="W67" s="4"/>
      <c r="X67" s="4"/>
      <c r="Y67" s="4"/>
      <c r="Z67" s="4"/>
    </row>
    <row r="68" spans="1:26" x14ac:dyDescent="0.3">
      <c r="A68" s="4"/>
      <c r="B68" s="4"/>
      <c r="C68" s="4"/>
      <c r="D68" s="4"/>
      <c r="E68" s="4"/>
      <c r="F68" s="4"/>
      <c r="G68" s="4"/>
      <c r="H68" s="36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120"/>
      <c r="R69" s="4"/>
      <c r="S69" s="4"/>
      <c r="T69" s="120"/>
      <c r="U69" s="4"/>
      <c r="V69" s="4"/>
      <c r="W69" s="4"/>
      <c r="X69" s="4"/>
      <c r="Y69" s="4"/>
      <c r="Z69" s="4"/>
    </row>
    <row r="70" spans="1:26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20"/>
      <c r="R70" s="4"/>
      <c r="S70" s="4"/>
      <c r="T70" s="120"/>
      <c r="U70" s="4"/>
      <c r="V70" s="4"/>
      <c r="W70" s="4"/>
      <c r="X70" s="4"/>
      <c r="Y70" s="4"/>
      <c r="Z70" s="4"/>
    </row>
    <row r="71" spans="1:26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3">
      <c r="A72" s="56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3">
      <c r="A74" s="441"/>
      <c r="B74" s="441"/>
      <c r="C74" s="441"/>
      <c r="D74" s="441"/>
      <c r="E74" s="441"/>
      <c r="F74" s="441"/>
      <c r="G74" s="441"/>
      <c r="H74" s="4"/>
      <c r="I74" s="442"/>
      <c r="J74" s="442"/>
      <c r="K74" s="441"/>
      <c r="L74" s="441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3">
      <c r="A76" s="4"/>
      <c r="B76" s="4"/>
      <c r="C76" s="4"/>
      <c r="D76" s="4"/>
      <c r="E76" s="4"/>
      <c r="F76" s="4"/>
      <c r="G76" s="4"/>
      <c r="H76" s="4"/>
      <c r="I76" s="4"/>
      <c r="J76" s="4"/>
      <c r="K76" s="53"/>
      <c r="L76" s="5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3">
      <c r="A77" s="4"/>
      <c r="B77" s="4"/>
      <c r="C77" s="4"/>
      <c r="D77" s="4"/>
      <c r="E77" s="4"/>
      <c r="F77" s="4"/>
      <c r="G77" s="4"/>
      <c r="H77" s="4"/>
      <c r="I77" s="4"/>
      <c r="J77" s="4"/>
      <c r="K77" s="53"/>
      <c r="L77" s="53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3">
      <c r="A78" s="4"/>
      <c r="B78" s="4"/>
      <c r="C78" s="36"/>
      <c r="D78" s="4"/>
      <c r="E78" s="4"/>
      <c r="F78" s="55"/>
      <c r="G78" s="4"/>
      <c r="H78" s="4"/>
      <c r="I78" s="4"/>
      <c r="J78" s="4"/>
      <c r="K78" s="53"/>
      <c r="L78" s="53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3">
      <c r="A79" s="4"/>
      <c r="B79" s="4"/>
      <c r="C79" s="4"/>
      <c r="D79" s="4"/>
      <c r="E79" s="4"/>
      <c r="F79" s="4"/>
      <c r="G79" s="4"/>
      <c r="H79" s="4"/>
      <c r="I79" s="57"/>
      <c r="J79" s="4"/>
      <c r="K79" s="53"/>
      <c r="L79" s="53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3">
      <c r="A80" s="36"/>
      <c r="B80" s="36"/>
      <c r="C80" s="4"/>
      <c r="E80" s="4"/>
      <c r="F80" s="4"/>
      <c r="G80" s="36"/>
      <c r="H80" s="4"/>
      <c r="I80" s="4"/>
      <c r="J80" s="4"/>
      <c r="K80" s="53"/>
      <c r="L80" s="53"/>
      <c r="M80" s="36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3">
      <c r="A81" s="4"/>
      <c r="B81" s="4"/>
      <c r="C81" s="4"/>
      <c r="D81" s="36"/>
      <c r="E81" s="4"/>
      <c r="F81" s="4"/>
      <c r="G81" s="4"/>
      <c r="H81" s="4"/>
      <c r="I81" s="4"/>
      <c r="J81" s="4"/>
      <c r="K81" s="53"/>
      <c r="L81" s="53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3">
      <c r="A82" s="4"/>
      <c r="B82" s="4"/>
      <c r="C82" s="52"/>
      <c r="D82" s="52"/>
      <c r="E82" s="4"/>
      <c r="F82" s="4"/>
      <c r="G82" s="4"/>
      <c r="H82" s="4"/>
      <c r="I82" s="4"/>
      <c r="J82" s="4"/>
      <c r="K82" s="53"/>
      <c r="L82" s="53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3">
      <c r="A83" s="4"/>
      <c r="B83" s="4"/>
      <c r="C83" s="58"/>
      <c r="E83" s="4"/>
      <c r="F83" s="59"/>
      <c r="G83" s="4"/>
      <c r="H83" s="4"/>
      <c r="I83" s="4"/>
      <c r="J83" s="4"/>
      <c r="K83" s="53"/>
      <c r="L83" s="53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53"/>
      <c r="L84" s="53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7" spans="1:26" x14ac:dyDescent="0.3">
      <c r="A87" s="441"/>
      <c r="B87" s="441"/>
      <c r="C87" s="441"/>
      <c r="D87" s="441"/>
      <c r="E87" s="441"/>
      <c r="F87" s="441"/>
      <c r="G87" s="441"/>
      <c r="H87" s="4"/>
      <c r="I87" s="442"/>
      <c r="J87" s="442"/>
      <c r="K87" s="441"/>
      <c r="L87" s="441"/>
    </row>
    <row r="88" spans="1:26" x14ac:dyDescent="0.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26" x14ac:dyDescent="0.3">
      <c r="A89" s="4"/>
      <c r="B89" s="4"/>
      <c r="C89" s="4"/>
      <c r="D89" s="52"/>
      <c r="E89" s="4"/>
      <c r="F89" s="4"/>
      <c r="G89" s="4"/>
      <c r="H89" s="4"/>
      <c r="I89" s="4"/>
      <c r="J89" s="4"/>
      <c r="K89" s="53"/>
      <c r="L89" s="54"/>
      <c r="M89" s="52"/>
    </row>
    <row r="90" spans="1:26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53"/>
      <c r="L90" s="53"/>
    </row>
    <row r="91" spans="1:26" x14ac:dyDescent="0.3">
      <c r="A91" s="4"/>
      <c r="B91" s="4"/>
      <c r="C91" s="36"/>
      <c r="D91" s="4"/>
      <c r="E91" s="4"/>
      <c r="F91" s="55"/>
      <c r="G91" s="4"/>
      <c r="H91" s="4"/>
      <c r="I91" s="4"/>
      <c r="J91" s="4"/>
      <c r="K91" s="53"/>
      <c r="L91" s="53"/>
    </row>
    <row r="92" spans="1:26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53"/>
      <c r="L92" s="53"/>
    </row>
    <row r="93" spans="1:26" x14ac:dyDescent="0.3">
      <c r="A93" s="4"/>
      <c r="B93" s="4"/>
      <c r="C93" s="4"/>
      <c r="D93" s="4"/>
      <c r="E93" s="4"/>
      <c r="F93" s="4"/>
      <c r="G93" s="4"/>
      <c r="H93" s="4"/>
      <c r="I93" s="4"/>
      <c r="J93" s="4"/>
      <c r="K93" s="53"/>
      <c r="L93" s="53"/>
    </row>
    <row r="94" spans="1:26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53"/>
      <c r="L94" s="53"/>
    </row>
    <row r="95" spans="1:26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53"/>
      <c r="L95" s="53"/>
    </row>
    <row r="96" spans="1:26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53"/>
      <c r="L96" s="53"/>
    </row>
    <row r="97" spans="1:12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53"/>
      <c r="L97" s="53"/>
    </row>
  </sheetData>
  <mergeCells count="33">
    <mergeCell ref="A2:C2"/>
    <mergeCell ref="A3:I3"/>
    <mergeCell ref="A5:N5"/>
    <mergeCell ref="O5:X5"/>
    <mergeCell ref="A6:E6"/>
    <mergeCell ref="F6:G6"/>
    <mergeCell ref="H6:I6"/>
    <mergeCell ref="J6:K6"/>
    <mergeCell ref="L6:M6"/>
    <mergeCell ref="O6:P6"/>
    <mergeCell ref="Q6:R6"/>
    <mergeCell ref="U6:V6"/>
    <mergeCell ref="Y6:Z6"/>
    <mergeCell ref="A74:E74"/>
    <mergeCell ref="F74:G74"/>
    <mergeCell ref="I74:J74"/>
    <mergeCell ref="K74:L74"/>
    <mergeCell ref="A53:A56"/>
    <mergeCell ref="B53:B56"/>
    <mergeCell ref="C53:C56"/>
    <mergeCell ref="D53:D56"/>
    <mergeCell ref="E53:E56"/>
    <mergeCell ref="F53:F56"/>
    <mergeCell ref="H53:H56"/>
    <mergeCell ref="I53:I56"/>
    <mergeCell ref="J53:J56"/>
    <mergeCell ref="K53:K56"/>
    <mergeCell ref="A87:E87"/>
    <mergeCell ref="F87:G87"/>
    <mergeCell ref="I87:J87"/>
    <mergeCell ref="K87:L87"/>
    <mergeCell ref="S6:T6"/>
    <mergeCell ref="L53:L55"/>
  </mergeCells>
  <phoneticPr fontId="5" type="noConversion"/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8534B-AA74-405B-848A-6D86EDC1ADB7}">
  <dimension ref="A1:Z114"/>
  <sheetViews>
    <sheetView tabSelected="1" topLeftCell="A56" zoomScale="50" zoomScaleNormal="50" workbookViewId="0">
      <selection activeCell="K97" sqref="K97"/>
    </sheetView>
  </sheetViews>
  <sheetFormatPr baseColWidth="10" defaultRowHeight="14.4" x14ac:dyDescent="0.3"/>
  <cols>
    <col min="1" max="1" width="34.6640625" customWidth="1"/>
    <col min="2" max="2" width="26.6640625" customWidth="1"/>
    <col min="3" max="3" width="17.33203125" customWidth="1"/>
    <col min="4" max="4" width="39" customWidth="1"/>
    <col min="5" max="5" width="24.5546875" customWidth="1"/>
    <col min="6" max="6" width="35.5546875" customWidth="1"/>
    <col min="7" max="7" width="39.5546875" customWidth="1"/>
    <col min="8" max="8" width="18.6640625" customWidth="1"/>
    <col min="9" max="9" width="13.88671875" customWidth="1"/>
    <col min="11" max="11" width="13.5546875" customWidth="1"/>
    <col min="12" max="12" width="15.5546875" customWidth="1"/>
    <col min="13" max="13" width="17.44140625" customWidth="1"/>
    <col min="14" max="14" width="13.109375" customWidth="1"/>
    <col min="15" max="15" width="12.33203125" customWidth="1"/>
    <col min="16" max="16" width="25.33203125" customWidth="1"/>
    <col min="17" max="18" width="14.5546875" customWidth="1"/>
    <col min="19" max="19" width="14.33203125" customWidth="1"/>
    <col min="20" max="20" width="13.5546875" customWidth="1"/>
    <col min="21" max="21" width="15.44140625" customWidth="1"/>
    <col min="22" max="22" width="15" customWidth="1"/>
    <col min="23" max="23" width="16.33203125" customWidth="1"/>
    <col min="25" max="25" width="31" customWidth="1"/>
  </cols>
  <sheetData>
    <row r="1" spans="1:26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8" x14ac:dyDescent="0.3">
      <c r="A3" s="437" t="s">
        <v>21</v>
      </c>
      <c r="B3" s="437"/>
      <c r="C3" s="437"/>
      <c r="D3" s="437"/>
      <c r="E3" s="437"/>
      <c r="F3" s="437"/>
      <c r="G3" s="437"/>
      <c r="H3" s="437"/>
      <c r="I3" s="43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8.600000000000001" thickBot="1" x14ac:dyDescent="0.35">
      <c r="A4" s="8" t="s">
        <v>77</v>
      </c>
      <c r="B4" s="8"/>
      <c r="C4" s="8"/>
      <c r="D4" s="8"/>
      <c r="E4" s="8"/>
      <c r="F4" s="8"/>
      <c r="G4" s="8"/>
      <c r="H4" s="8"/>
      <c r="I4" s="8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 thickBot="1" x14ac:dyDescent="0.35">
      <c r="A5" s="455" t="s">
        <v>28</v>
      </c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5" t="s">
        <v>27</v>
      </c>
      <c r="P5" s="456"/>
      <c r="Q5" s="456"/>
      <c r="R5" s="456"/>
      <c r="S5" s="456"/>
      <c r="T5" s="456"/>
      <c r="U5" s="456"/>
      <c r="V5" s="456"/>
      <c r="W5" s="456"/>
      <c r="X5" s="457"/>
      <c r="Y5" s="4"/>
      <c r="Z5" s="4"/>
    </row>
    <row r="6" spans="1:26" ht="54" customHeight="1" x14ac:dyDescent="0.3">
      <c r="A6" s="458" t="s">
        <v>5</v>
      </c>
      <c r="B6" s="459"/>
      <c r="C6" s="459"/>
      <c r="D6" s="459"/>
      <c r="E6" s="459"/>
      <c r="F6" s="458" t="s">
        <v>29</v>
      </c>
      <c r="G6" s="460"/>
      <c r="H6" s="491" t="s">
        <v>6</v>
      </c>
      <c r="I6" s="492"/>
      <c r="J6" s="493" t="s">
        <v>9</v>
      </c>
      <c r="K6" s="493"/>
      <c r="L6" s="494" t="s">
        <v>16</v>
      </c>
      <c r="M6" s="495"/>
      <c r="N6" s="123" t="s">
        <v>25</v>
      </c>
      <c r="O6" s="507" t="s">
        <v>14</v>
      </c>
      <c r="P6" s="508"/>
      <c r="Q6" s="496" t="s">
        <v>18</v>
      </c>
      <c r="R6" s="496"/>
      <c r="S6" s="489" t="s">
        <v>20</v>
      </c>
      <c r="T6" s="489"/>
      <c r="U6" s="490" t="s">
        <v>22</v>
      </c>
      <c r="V6" s="490"/>
      <c r="W6" s="220" t="s">
        <v>262</v>
      </c>
      <c r="X6" s="221" t="s">
        <v>240</v>
      </c>
      <c r="Y6" s="441"/>
      <c r="Z6" s="441"/>
    </row>
    <row r="7" spans="1:26" x14ac:dyDescent="0.3">
      <c r="A7" s="9" t="s">
        <v>0</v>
      </c>
      <c r="B7" s="10" t="s">
        <v>1</v>
      </c>
      <c r="C7" s="10" t="s">
        <v>2</v>
      </c>
      <c r="D7" s="10" t="s">
        <v>3</v>
      </c>
      <c r="E7" s="97" t="s">
        <v>4</v>
      </c>
      <c r="F7" s="9" t="s">
        <v>30</v>
      </c>
      <c r="G7" s="12" t="s">
        <v>31</v>
      </c>
      <c r="H7" s="117" t="s">
        <v>7</v>
      </c>
      <c r="I7" s="11" t="s">
        <v>8</v>
      </c>
      <c r="J7" s="11" t="s">
        <v>10</v>
      </c>
      <c r="K7" s="10" t="s">
        <v>11</v>
      </c>
      <c r="L7" s="10" t="s">
        <v>15</v>
      </c>
      <c r="M7" s="10" t="s">
        <v>17</v>
      </c>
      <c r="N7" s="97" t="s">
        <v>26</v>
      </c>
      <c r="O7" s="16" t="s">
        <v>12</v>
      </c>
      <c r="P7" s="13" t="s">
        <v>13</v>
      </c>
      <c r="Q7" s="17" t="s">
        <v>19</v>
      </c>
      <c r="R7" s="18" t="s">
        <v>13</v>
      </c>
      <c r="S7" s="20" t="s">
        <v>19</v>
      </c>
      <c r="T7" s="19" t="s">
        <v>13</v>
      </c>
      <c r="U7" s="21" t="s">
        <v>19</v>
      </c>
      <c r="V7" s="22" t="s">
        <v>13</v>
      </c>
      <c r="W7" s="24" t="s">
        <v>13</v>
      </c>
      <c r="X7" s="26" t="s">
        <v>13</v>
      </c>
      <c r="Y7" s="1"/>
      <c r="Z7" s="1"/>
    </row>
    <row r="8" spans="1:26" x14ac:dyDescent="0.3">
      <c r="A8" s="93" t="s">
        <v>84</v>
      </c>
      <c r="B8" s="94" t="s">
        <v>83</v>
      </c>
      <c r="C8" s="94" t="s">
        <v>86</v>
      </c>
      <c r="D8" s="235" t="s">
        <v>85</v>
      </c>
      <c r="E8" s="98"/>
      <c r="F8" s="99" t="s">
        <v>62</v>
      </c>
      <c r="G8" s="95" t="s">
        <v>63</v>
      </c>
      <c r="H8" s="118"/>
      <c r="I8" s="96"/>
      <c r="J8" s="96">
        <v>27</v>
      </c>
      <c r="K8" s="94" t="s">
        <v>228</v>
      </c>
      <c r="L8" s="94">
        <v>17</v>
      </c>
      <c r="M8" s="94"/>
      <c r="N8" s="98" t="s">
        <v>278</v>
      </c>
      <c r="O8" s="67">
        <v>3.75</v>
      </c>
      <c r="P8" s="68">
        <v>4.5</v>
      </c>
      <c r="Q8" s="69">
        <f>L8*O8</f>
        <v>63.75</v>
      </c>
      <c r="R8" s="70">
        <f t="shared" ref="R8:R14" si="0">L8*P8</f>
        <v>76.5</v>
      </c>
      <c r="S8" s="71">
        <v>63.75</v>
      </c>
      <c r="T8" s="72">
        <v>76.5</v>
      </c>
      <c r="U8" s="73"/>
      <c r="V8" s="74"/>
      <c r="W8" s="75"/>
      <c r="X8" s="76"/>
      <c r="Y8" s="1"/>
      <c r="Z8" s="1"/>
    </row>
    <row r="9" spans="1:26" ht="28.8" x14ac:dyDescent="0.3">
      <c r="A9" s="93" t="s">
        <v>70</v>
      </c>
      <c r="B9" s="94" t="s">
        <v>72</v>
      </c>
      <c r="C9" s="94" t="s">
        <v>71</v>
      </c>
      <c r="D9" s="94" t="s">
        <v>69</v>
      </c>
      <c r="E9" s="94"/>
      <c r="F9" s="160" t="s">
        <v>68</v>
      </c>
      <c r="G9" s="119" t="s">
        <v>92</v>
      </c>
      <c r="H9" s="118"/>
      <c r="I9" s="96"/>
      <c r="J9" s="96"/>
      <c r="K9" s="94" t="s">
        <v>354</v>
      </c>
      <c r="L9" s="94">
        <v>20</v>
      </c>
      <c r="M9" s="94"/>
      <c r="N9" s="124" t="s">
        <v>279</v>
      </c>
      <c r="O9" s="67">
        <v>25.833300000000001</v>
      </c>
      <c r="P9" s="68">
        <v>31</v>
      </c>
      <c r="Q9" s="69">
        <v>516.66999999999996</v>
      </c>
      <c r="R9" s="70">
        <f>L9*P9</f>
        <v>620</v>
      </c>
      <c r="S9" s="71">
        <f t="shared" ref="S9:T11" si="1">Q9-U9</f>
        <v>144.39999999999998</v>
      </c>
      <c r="T9" s="72">
        <f t="shared" si="1"/>
        <v>215</v>
      </c>
      <c r="U9" s="77">
        <f>327.27+W9</f>
        <v>372.27</v>
      </c>
      <c r="V9" s="78">
        <f>(L9*18)+W9</f>
        <v>405</v>
      </c>
      <c r="W9" s="79">
        <f>L9*2.25</f>
        <v>45</v>
      </c>
      <c r="X9" s="76"/>
      <c r="Y9" s="1"/>
      <c r="Z9" s="1"/>
    </row>
    <row r="10" spans="1:26" ht="28.8" x14ac:dyDescent="0.3">
      <c r="A10" s="93" t="s">
        <v>74</v>
      </c>
      <c r="B10" s="94"/>
      <c r="C10" s="94" t="s">
        <v>75</v>
      </c>
      <c r="D10" s="235" t="s">
        <v>186</v>
      </c>
      <c r="E10" s="94"/>
      <c r="F10" s="161">
        <v>44981</v>
      </c>
      <c r="G10" s="119" t="s">
        <v>73</v>
      </c>
      <c r="H10" s="118"/>
      <c r="I10" s="96"/>
      <c r="J10" s="96"/>
      <c r="K10" s="94" t="s">
        <v>228</v>
      </c>
      <c r="L10" s="94">
        <v>57</v>
      </c>
      <c r="M10" s="94"/>
      <c r="N10" s="98"/>
      <c r="O10" s="67">
        <v>30.83</v>
      </c>
      <c r="P10" s="68">
        <v>37</v>
      </c>
      <c r="Q10" s="415">
        <f>O10*L10</f>
        <v>1757.31</v>
      </c>
      <c r="R10" s="70">
        <f>L10*P10</f>
        <v>2109</v>
      </c>
      <c r="S10" s="326">
        <f t="shared" si="1"/>
        <v>-10.240000000000009</v>
      </c>
      <c r="T10" s="327">
        <f t="shared" si="1"/>
        <v>227.45000000000005</v>
      </c>
      <c r="U10" s="414">
        <f>448+(3.15*57)+' SUIVI DES FACTURES 2023'!E11</f>
        <v>1767.55</v>
      </c>
      <c r="V10" s="413">
        <v>1881.55</v>
      </c>
      <c r="W10" s="75"/>
      <c r="X10" s="76"/>
      <c r="Y10" s="1"/>
      <c r="Z10" s="1"/>
    </row>
    <row r="11" spans="1:26" ht="28.8" x14ac:dyDescent="0.3">
      <c r="A11" s="93" t="s">
        <v>91</v>
      </c>
      <c r="B11" s="94" t="s">
        <v>54</v>
      </c>
      <c r="C11" s="94" t="s">
        <v>55</v>
      </c>
      <c r="D11" s="94" t="s">
        <v>90</v>
      </c>
      <c r="E11" s="94" t="s">
        <v>275</v>
      </c>
      <c r="F11" s="161" t="s">
        <v>276</v>
      </c>
      <c r="G11" s="119" t="s">
        <v>255</v>
      </c>
      <c r="H11" s="159">
        <v>44974</v>
      </c>
      <c r="I11" s="96"/>
      <c r="J11" s="96">
        <v>0</v>
      </c>
      <c r="K11" s="94" t="s">
        <v>228</v>
      </c>
      <c r="L11" s="94">
        <v>22</v>
      </c>
      <c r="M11" s="94"/>
      <c r="N11" s="124" t="s">
        <v>279</v>
      </c>
      <c r="O11" s="67">
        <v>27.92</v>
      </c>
      <c r="P11" s="68">
        <v>33.5</v>
      </c>
      <c r="Q11" s="320">
        <v>614.16999999999996</v>
      </c>
      <c r="R11" s="70">
        <f t="shared" si="0"/>
        <v>737</v>
      </c>
      <c r="S11" s="319">
        <f t="shared" si="1"/>
        <v>204.66999999999996</v>
      </c>
      <c r="T11" s="318">
        <f t="shared" si="1"/>
        <v>291.5</v>
      </c>
      <c r="U11" s="316">
        <f>360+W11</f>
        <v>409.5</v>
      </c>
      <c r="V11" s="317">
        <f>396+W11</f>
        <v>445.5</v>
      </c>
      <c r="W11" s="79">
        <f>2.25*L11</f>
        <v>49.5</v>
      </c>
      <c r="X11" s="76"/>
      <c r="Y11" s="1"/>
      <c r="Z11" s="1"/>
    </row>
    <row r="12" spans="1:26" ht="28.8" x14ac:dyDescent="0.3">
      <c r="A12" s="93"/>
      <c r="B12" s="94" t="s">
        <v>253</v>
      </c>
      <c r="C12" s="94" t="s">
        <v>252</v>
      </c>
      <c r="D12" s="96" t="s">
        <v>57</v>
      </c>
      <c r="E12" s="98"/>
      <c r="F12" s="99" t="s">
        <v>58</v>
      </c>
      <c r="G12" s="95" t="s">
        <v>251</v>
      </c>
      <c r="H12" s="118"/>
      <c r="I12" s="96"/>
      <c r="J12" s="96"/>
      <c r="K12" s="94" t="s">
        <v>228</v>
      </c>
      <c r="L12" s="94">
        <v>10</v>
      </c>
      <c r="M12" s="94"/>
      <c r="N12" s="124" t="s">
        <v>280</v>
      </c>
      <c r="O12" s="67">
        <v>4.58</v>
      </c>
      <c r="P12" s="68">
        <v>5.5</v>
      </c>
      <c r="Q12" s="69">
        <v>45.83</v>
      </c>
      <c r="R12" s="70">
        <f t="shared" si="0"/>
        <v>55</v>
      </c>
      <c r="S12" s="71">
        <v>22.92</v>
      </c>
      <c r="T12" s="72">
        <f>R12-W12</f>
        <v>27.5</v>
      </c>
      <c r="U12" s="77">
        <v>27.5</v>
      </c>
      <c r="V12" s="78">
        <v>27.5</v>
      </c>
      <c r="W12" s="79">
        <f>R12/2</f>
        <v>27.5</v>
      </c>
      <c r="X12" s="76"/>
      <c r="Y12" s="1"/>
      <c r="Z12" s="1"/>
    </row>
    <row r="13" spans="1:26" x14ac:dyDescent="0.3">
      <c r="A13" s="93" t="s">
        <v>365</v>
      </c>
      <c r="B13" s="94" t="s">
        <v>366</v>
      </c>
      <c r="C13" s="94"/>
      <c r="D13" s="96"/>
      <c r="E13" s="98"/>
      <c r="F13" s="99" t="s">
        <v>368</v>
      </c>
      <c r="G13" s="95" t="s">
        <v>367</v>
      </c>
      <c r="H13" s="118"/>
      <c r="I13" s="96"/>
      <c r="J13" s="96"/>
      <c r="K13" s="94"/>
      <c r="L13" s="94">
        <v>36</v>
      </c>
      <c r="M13" s="94"/>
      <c r="N13" s="124" t="s">
        <v>400</v>
      </c>
      <c r="O13" s="67">
        <v>3.75</v>
      </c>
      <c r="P13" s="68">
        <v>4.5</v>
      </c>
      <c r="Q13" s="69">
        <v>135</v>
      </c>
      <c r="R13" s="70">
        <f t="shared" si="0"/>
        <v>162</v>
      </c>
      <c r="S13" s="71">
        <v>135</v>
      </c>
      <c r="T13" s="72">
        <v>162</v>
      </c>
      <c r="U13" s="73"/>
      <c r="V13" s="74"/>
      <c r="W13" s="75"/>
      <c r="X13" s="76"/>
      <c r="Y13" s="1"/>
      <c r="Z13" s="1"/>
    </row>
    <row r="14" spans="1:26" ht="54.6" customHeight="1" x14ac:dyDescent="0.3">
      <c r="A14" s="93" t="s">
        <v>103</v>
      </c>
      <c r="B14" s="94" t="s">
        <v>59</v>
      </c>
      <c r="C14" s="94" t="s">
        <v>60</v>
      </c>
      <c r="D14" s="235" t="s">
        <v>61</v>
      </c>
      <c r="E14" s="98"/>
      <c r="F14" s="174">
        <v>45001</v>
      </c>
      <c r="G14" s="119" t="s">
        <v>254</v>
      </c>
      <c r="H14" s="175"/>
      <c r="I14" s="94"/>
      <c r="J14" s="94">
        <v>810</v>
      </c>
      <c r="K14" s="94" t="s">
        <v>228</v>
      </c>
      <c r="L14" s="94">
        <v>41</v>
      </c>
      <c r="M14" s="94"/>
      <c r="N14" s="124" t="s">
        <v>399</v>
      </c>
      <c r="O14" s="67">
        <v>48.33</v>
      </c>
      <c r="P14" s="68">
        <v>58</v>
      </c>
      <c r="Q14" s="69">
        <f>L14*O14</f>
        <v>1981.53</v>
      </c>
      <c r="R14" s="70">
        <f t="shared" si="0"/>
        <v>2378</v>
      </c>
      <c r="S14" s="319">
        <f>Q14-U14</f>
        <v>256.73</v>
      </c>
      <c r="T14" s="318">
        <f>R14-V14</f>
        <v>522.75</v>
      </c>
      <c r="U14" s="316">
        <f>1304.55+92.25+328</f>
        <v>1724.8</v>
      </c>
      <c r="V14" s="317">
        <f>1435+328+92.25</f>
        <v>1855.25</v>
      </c>
      <c r="W14" s="79">
        <f>2.25*L14</f>
        <v>92.25</v>
      </c>
      <c r="X14" s="76"/>
      <c r="Y14" s="4"/>
      <c r="Z14" s="4"/>
    </row>
    <row r="15" spans="1:26" ht="54.6" customHeight="1" x14ac:dyDescent="0.3">
      <c r="A15" s="93" t="s">
        <v>369</v>
      </c>
      <c r="B15" s="94"/>
      <c r="C15" s="94"/>
      <c r="D15" s="173"/>
      <c r="E15" s="94"/>
      <c r="F15" s="161">
        <v>45001</v>
      </c>
      <c r="G15" s="119" t="s">
        <v>108</v>
      </c>
      <c r="H15" s="175"/>
      <c r="I15" s="94"/>
      <c r="J15" s="94"/>
      <c r="K15" s="94"/>
      <c r="L15" s="94">
        <v>25</v>
      </c>
      <c r="M15" s="94"/>
      <c r="N15" s="98" t="s">
        <v>376</v>
      </c>
      <c r="O15" s="67">
        <v>0</v>
      </c>
      <c r="P15" s="68">
        <v>0</v>
      </c>
      <c r="Q15" s="69">
        <v>0</v>
      </c>
      <c r="R15" s="70">
        <v>0</v>
      </c>
      <c r="S15" s="71">
        <v>0</v>
      </c>
      <c r="T15" s="72">
        <v>0</v>
      </c>
      <c r="U15" s="73"/>
      <c r="V15" s="74"/>
      <c r="W15" s="75"/>
      <c r="X15" s="76"/>
      <c r="Y15" s="4"/>
      <c r="Z15" s="4"/>
    </row>
    <row r="16" spans="1:26" ht="54.6" customHeight="1" x14ac:dyDescent="0.3">
      <c r="A16" s="93" t="s">
        <v>369</v>
      </c>
      <c r="B16" s="94"/>
      <c r="C16" s="94"/>
      <c r="D16" s="173"/>
      <c r="E16" s="94"/>
      <c r="F16" s="161">
        <v>45006</v>
      </c>
      <c r="G16" s="119" t="s">
        <v>108</v>
      </c>
      <c r="H16" s="175"/>
      <c r="I16" s="94"/>
      <c r="J16" s="94"/>
      <c r="K16" s="94"/>
      <c r="L16" s="94">
        <v>25</v>
      </c>
      <c r="M16" s="94"/>
      <c r="N16" s="98" t="s">
        <v>376</v>
      </c>
      <c r="O16" s="67">
        <v>0</v>
      </c>
      <c r="P16" s="68">
        <v>0</v>
      </c>
      <c r="Q16" s="69">
        <v>0</v>
      </c>
      <c r="R16" s="70">
        <v>0</v>
      </c>
      <c r="S16" s="71">
        <v>0</v>
      </c>
      <c r="T16" s="72">
        <v>0</v>
      </c>
      <c r="U16" s="73"/>
      <c r="V16" s="74"/>
      <c r="W16" s="75"/>
      <c r="X16" s="76"/>
      <c r="Y16" s="4"/>
      <c r="Z16" s="4"/>
    </row>
    <row r="17" spans="1:26" ht="54.6" customHeight="1" x14ac:dyDescent="0.3">
      <c r="A17" s="222" t="s">
        <v>364</v>
      </c>
      <c r="B17" s="236" t="s">
        <v>356</v>
      </c>
      <c r="C17" s="236" t="s">
        <v>355</v>
      </c>
      <c r="D17" s="94" t="s">
        <v>357</v>
      </c>
      <c r="E17" s="94"/>
      <c r="F17" s="191" t="s">
        <v>375</v>
      </c>
      <c r="G17" s="119" t="s">
        <v>362</v>
      </c>
      <c r="H17" s="175"/>
      <c r="I17" s="94"/>
      <c r="J17" s="94"/>
      <c r="K17" s="94"/>
      <c r="L17" s="94">
        <v>40</v>
      </c>
      <c r="M17" s="94"/>
      <c r="N17" s="98" t="s">
        <v>363</v>
      </c>
      <c r="O17" s="67">
        <v>0</v>
      </c>
      <c r="P17" s="68">
        <v>0</v>
      </c>
      <c r="Q17" s="69">
        <v>0</v>
      </c>
      <c r="R17" s="70">
        <f>L17*P17</f>
        <v>0</v>
      </c>
      <c r="S17" s="71">
        <v>0</v>
      </c>
      <c r="T17" s="72">
        <v>0</v>
      </c>
      <c r="U17" s="73"/>
      <c r="V17" s="74"/>
      <c r="W17" s="75"/>
      <c r="X17" s="76"/>
      <c r="Y17" s="4"/>
      <c r="Z17" s="4"/>
    </row>
    <row r="18" spans="1:26" ht="54.6" customHeight="1" x14ac:dyDescent="0.3">
      <c r="A18" s="93" t="s">
        <v>369</v>
      </c>
      <c r="B18" s="236"/>
      <c r="C18" s="236"/>
      <c r="D18" s="94"/>
      <c r="E18" s="94"/>
      <c r="F18" s="191">
        <v>45013</v>
      </c>
      <c r="G18" s="119" t="s">
        <v>108</v>
      </c>
      <c r="H18" s="175"/>
      <c r="I18" s="94"/>
      <c r="J18" s="94"/>
      <c r="K18" s="94"/>
      <c r="L18" s="94">
        <v>25</v>
      </c>
      <c r="M18" s="94"/>
      <c r="N18" s="98" t="s">
        <v>376</v>
      </c>
      <c r="O18" s="67">
        <v>0</v>
      </c>
      <c r="P18" s="68">
        <v>0</v>
      </c>
      <c r="Q18" s="69">
        <v>0</v>
      </c>
      <c r="R18" s="70">
        <v>0</v>
      </c>
      <c r="S18" s="71">
        <v>0</v>
      </c>
      <c r="T18" s="72">
        <v>0</v>
      </c>
      <c r="U18" s="73"/>
      <c r="V18" s="74"/>
      <c r="W18" s="75"/>
      <c r="X18" s="76"/>
      <c r="Y18" s="4"/>
      <c r="Z18" s="4"/>
    </row>
    <row r="19" spans="1:26" ht="54.6" customHeight="1" x14ac:dyDescent="0.3">
      <c r="A19" s="93" t="s">
        <v>369</v>
      </c>
      <c r="B19" s="236"/>
      <c r="C19" s="236"/>
      <c r="D19" s="94"/>
      <c r="E19" s="94"/>
      <c r="F19" s="191">
        <v>45015</v>
      </c>
      <c r="G19" s="119" t="s">
        <v>108</v>
      </c>
      <c r="H19" s="175"/>
      <c r="I19" s="94"/>
      <c r="J19" s="94"/>
      <c r="K19" s="94"/>
      <c r="L19" s="94">
        <v>25</v>
      </c>
      <c r="M19" s="94"/>
      <c r="N19" s="98" t="s">
        <v>376</v>
      </c>
      <c r="O19" s="67">
        <v>0</v>
      </c>
      <c r="P19" s="68">
        <v>0</v>
      </c>
      <c r="Q19" s="69">
        <v>0</v>
      </c>
      <c r="R19" s="70">
        <v>0</v>
      </c>
      <c r="S19" s="71">
        <v>0</v>
      </c>
      <c r="T19" s="72">
        <v>0</v>
      </c>
      <c r="U19" s="73"/>
      <c r="V19" s="74"/>
      <c r="W19" s="75"/>
      <c r="X19" s="76"/>
      <c r="Y19" s="4"/>
      <c r="Z19" s="4"/>
    </row>
    <row r="20" spans="1:26" ht="54.6" customHeight="1" x14ac:dyDescent="0.3">
      <c r="A20" s="93" t="s">
        <v>282</v>
      </c>
      <c r="B20" s="94"/>
      <c r="C20" s="94"/>
      <c r="D20" s="94"/>
      <c r="E20" s="94"/>
      <c r="F20" s="161" t="s">
        <v>281</v>
      </c>
      <c r="G20" s="119" t="s">
        <v>192</v>
      </c>
      <c r="H20" s="175"/>
      <c r="I20" s="94"/>
      <c r="J20" s="94"/>
      <c r="K20" s="94" t="s">
        <v>448</v>
      </c>
      <c r="L20" s="94">
        <v>2</v>
      </c>
      <c r="M20" s="94"/>
      <c r="N20" s="98" t="s">
        <v>444</v>
      </c>
      <c r="O20" s="67">
        <v>3.75</v>
      </c>
      <c r="P20" s="68">
        <v>4.5</v>
      </c>
      <c r="Q20" s="69">
        <v>7.5</v>
      </c>
      <c r="R20" s="70">
        <f>L20*P20</f>
        <v>9</v>
      </c>
      <c r="S20" s="71">
        <f>Q20-U20</f>
        <v>2.5</v>
      </c>
      <c r="T20" s="72">
        <f>R20-V20</f>
        <v>4</v>
      </c>
      <c r="U20" s="77">
        <v>5</v>
      </c>
      <c r="V20" s="78">
        <f>X20</f>
        <v>5</v>
      </c>
      <c r="W20" s="75"/>
      <c r="X20" s="170">
        <f>2.5*L20</f>
        <v>5</v>
      </c>
      <c r="Y20" s="4"/>
      <c r="Z20" s="4"/>
    </row>
    <row r="21" spans="1:26" ht="54.6" customHeight="1" x14ac:dyDescent="0.3">
      <c r="A21" s="503" t="s">
        <v>268</v>
      </c>
      <c r="B21" s="475" t="s">
        <v>343</v>
      </c>
      <c r="C21" s="505" t="s">
        <v>345</v>
      </c>
      <c r="D21" s="237" t="s">
        <v>344</v>
      </c>
      <c r="E21" s="475"/>
      <c r="F21" s="477" t="s">
        <v>269</v>
      </c>
      <c r="G21" s="96" t="s">
        <v>342</v>
      </c>
      <c r="H21" s="175"/>
      <c r="I21" s="94"/>
      <c r="J21" s="94"/>
      <c r="K21" s="475" t="s">
        <v>448</v>
      </c>
      <c r="L21" s="94">
        <v>20</v>
      </c>
      <c r="M21" s="94"/>
      <c r="N21" s="479" t="s">
        <v>278</v>
      </c>
      <c r="O21" s="67">
        <v>37.5</v>
      </c>
      <c r="P21" s="68">
        <v>45</v>
      </c>
      <c r="Q21" s="69">
        <f>L21*O21</f>
        <v>750</v>
      </c>
      <c r="R21" s="70">
        <f>L21*P21</f>
        <v>900</v>
      </c>
      <c r="S21" s="319">
        <f>Q21-U21</f>
        <v>164.73000000000002</v>
      </c>
      <c r="T21" s="318">
        <f>R21-V21</f>
        <v>267</v>
      </c>
      <c r="U21" s="316">
        <v>585.27</v>
      </c>
      <c r="V21" s="317">
        <v>633</v>
      </c>
      <c r="W21" s="79">
        <f>2.25*L21</f>
        <v>45</v>
      </c>
      <c r="X21" s="76"/>
      <c r="Y21" s="4"/>
      <c r="Z21" s="4"/>
    </row>
    <row r="22" spans="1:26" ht="54.6" customHeight="1" x14ac:dyDescent="0.3">
      <c r="A22" s="504"/>
      <c r="B22" s="476"/>
      <c r="C22" s="506"/>
      <c r="D22" s="237"/>
      <c r="E22" s="476"/>
      <c r="F22" s="478"/>
      <c r="G22" s="96" t="s">
        <v>248</v>
      </c>
      <c r="H22" s="175"/>
      <c r="I22" s="94"/>
      <c r="J22" s="94"/>
      <c r="K22" s="476"/>
      <c r="L22" s="94">
        <v>1</v>
      </c>
      <c r="M22" s="94"/>
      <c r="N22" s="480"/>
      <c r="O22" s="167">
        <v>22.75</v>
      </c>
      <c r="P22" s="68">
        <v>25</v>
      </c>
      <c r="Q22" s="69">
        <v>22.75</v>
      </c>
      <c r="R22" s="70">
        <v>25</v>
      </c>
      <c r="S22" s="71">
        <v>0</v>
      </c>
      <c r="T22" s="72">
        <v>0</v>
      </c>
      <c r="U22" s="77">
        <v>22.75</v>
      </c>
      <c r="V22" s="78">
        <v>25</v>
      </c>
      <c r="W22" s="75"/>
      <c r="X22" s="76"/>
      <c r="Y22" s="4"/>
      <c r="Z22" s="4"/>
    </row>
    <row r="23" spans="1:26" ht="54.6" customHeight="1" x14ac:dyDescent="0.3">
      <c r="A23" s="223" t="s">
        <v>282</v>
      </c>
      <c r="B23" s="187"/>
      <c r="C23" s="187"/>
      <c r="D23" s="187"/>
      <c r="E23" s="187"/>
      <c r="F23" s="200" t="s">
        <v>288</v>
      </c>
      <c r="G23" s="195" t="s">
        <v>108</v>
      </c>
      <c r="H23" s="187"/>
      <c r="I23" s="187"/>
      <c r="J23" s="187"/>
      <c r="K23" s="187"/>
      <c r="L23" s="187"/>
      <c r="M23" s="187"/>
      <c r="N23" s="187"/>
      <c r="O23" s="201"/>
      <c r="P23" s="202"/>
      <c r="Q23" s="202"/>
      <c r="R23" s="202"/>
      <c r="S23" s="202"/>
      <c r="T23" s="202"/>
      <c r="U23" s="203"/>
      <c r="V23" s="203"/>
      <c r="W23" s="203"/>
      <c r="X23" s="204"/>
      <c r="Y23" s="36" t="s">
        <v>447</v>
      </c>
      <c r="Z23" s="4"/>
    </row>
    <row r="24" spans="1:26" ht="54.6" customHeight="1" x14ac:dyDescent="0.3">
      <c r="A24" s="93" t="s">
        <v>277</v>
      </c>
      <c r="B24" s="94"/>
      <c r="C24" s="94"/>
      <c r="D24" s="94" t="s">
        <v>180</v>
      </c>
      <c r="E24" s="94"/>
      <c r="F24" s="205" t="s">
        <v>418</v>
      </c>
      <c r="G24" s="94" t="s">
        <v>108</v>
      </c>
      <c r="H24" s="94"/>
      <c r="I24" s="94"/>
      <c r="J24" s="94"/>
      <c r="K24" s="94" t="s">
        <v>228</v>
      </c>
      <c r="L24" s="94">
        <v>30</v>
      </c>
      <c r="M24" s="94"/>
      <c r="N24" s="96" t="s">
        <v>446</v>
      </c>
      <c r="O24" s="171">
        <v>2.92</v>
      </c>
      <c r="P24" s="68">
        <v>3.5</v>
      </c>
      <c r="Q24" s="69">
        <f>L24*O24</f>
        <v>87.6</v>
      </c>
      <c r="R24" s="70">
        <f>30*P24</f>
        <v>105</v>
      </c>
      <c r="S24" s="71">
        <f t="shared" ref="S24:T26" si="2">Q24</f>
        <v>87.6</v>
      </c>
      <c r="T24" s="72">
        <f t="shared" si="2"/>
        <v>105</v>
      </c>
      <c r="U24" s="73"/>
      <c r="V24" s="74"/>
      <c r="W24" s="75"/>
      <c r="X24" s="76"/>
      <c r="Y24" s="4"/>
      <c r="Z24" s="4"/>
    </row>
    <row r="25" spans="1:26" ht="54.6" customHeight="1" x14ac:dyDescent="0.3">
      <c r="A25" s="222" t="s">
        <v>383</v>
      </c>
      <c r="B25" s="94"/>
      <c r="C25" s="94" t="s">
        <v>390</v>
      </c>
      <c r="D25" s="94" t="s">
        <v>388</v>
      </c>
      <c r="E25" s="94"/>
      <c r="F25" s="205" t="s">
        <v>387</v>
      </c>
      <c r="G25" s="94" t="s">
        <v>384</v>
      </c>
      <c r="H25" s="94"/>
      <c r="I25" s="94"/>
      <c r="J25" s="94"/>
      <c r="K25" s="94"/>
      <c r="L25" s="94">
        <v>29</v>
      </c>
      <c r="M25" s="94"/>
      <c r="N25" s="96" t="s">
        <v>377</v>
      </c>
      <c r="O25" s="171">
        <v>2.5</v>
      </c>
      <c r="P25" s="68">
        <v>3</v>
      </c>
      <c r="Q25" s="69">
        <f>O25*L25</f>
        <v>72.5</v>
      </c>
      <c r="R25" s="70">
        <f>L25*P25</f>
        <v>87</v>
      </c>
      <c r="S25" s="71">
        <f t="shared" si="2"/>
        <v>72.5</v>
      </c>
      <c r="T25" s="72">
        <f t="shared" si="2"/>
        <v>87</v>
      </c>
      <c r="U25" s="73"/>
      <c r="V25" s="74"/>
      <c r="W25" s="75"/>
      <c r="X25" s="76"/>
      <c r="Y25" s="4"/>
      <c r="Z25" s="4"/>
    </row>
    <row r="26" spans="1:26" ht="54.6" customHeight="1" x14ac:dyDescent="0.3">
      <c r="A26" s="222" t="s">
        <v>383</v>
      </c>
      <c r="B26" s="94"/>
      <c r="C26" s="94" t="s">
        <v>390</v>
      </c>
      <c r="D26" s="238" t="s">
        <v>388</v>
      </c>
      <c r="E26" s="94"/>
      <c r="F26" s="205" t="s">
        <v>386</v>
      </c>
      <c r="G26" s="94" t="s">
        <v>384</v>
      </c>
      <c r="H26" s="94"/>
      <c r="I26" s="94"/>
      <c r="J26" s="94"/>
      <c r="K26" s="94"/>
      <c r="L26" s="94">
        <v>28</v>
      </c>
      <c r="M26" s="94"/>
      <c r="N26" s="96" t="s">
        <v>377</v>
      </c>
      <c r="O26" s="171">
        <v>2.5</v>
      </c>
      <c r="P26" s="68">
        <v>3</v>
      </c>
      <c r="Q26" s="69">
        <f t="shared" ref="Q26:Q33" si="3">L26*O26</f>
        <v>70</v>
      </c>
      <c r="R26" s="70">
        <f>P26*L26</f>
        <v>84</v>
      </c>
      <c r="S26" s="71">
        <f t="shared" si="2"/>
        <v>70</v>
      </c>
      <c r="T26" s="72">
        <f t="shared" si="2"/>
        <v>84</v>
      </c>
      <c r="U26" s="73"/>
      <c r="V26" s="74"/>
      <c r="W26" s="75"/>
      <c r="X26" s="76"/>
      <c r="Y26" s="4"/>
      <c r="Z26" s="4"/>
    </row>
    <row r="27" spans="1:26" ht="54.6" customHeight="1" x14ac:dyDescent="0.3">
      <c r="A27" s="222" t="s">
        <v>79</v>
      </c>
      <c r="B27" s="94" t="s">
        <v>78</v>
      </c>
      <c r="C27" s="96" t="s">
        <v>44</v>
      </c>
      <c r="D27" s="94" t="s">
        <v>80</v>
      </c>
      <c r="E27" s="94"/>
      <c r="F27" s="212">
        <v>45043</v>
      </c>
      <c r="G27" s="96" t="s">
        <v>81</v>
      </c>
      <c r="H27" s="94"/>
      <c r="I27" s="94"/>
      <c r="J27" s="94"/>
      <c r="K27" s="94" t="s">
        <v>228</v>
      </c>
      <c r="L27" s="94">
        <v>47</v>
      </c>
      <c r="M27" s="94"/>
      <c r="N27" s="96"/>
      <c r="O27" s="171">
        <v>33.33</v>
      </c>
      <c r="P27" s="68">
        <v>40</v>
      </c>
      <c r="Q27" s="69">
        <f t="shared" si="3"/>
        <v>1566.51</v>
      </c>
      <c r="R27" s="70">
        <f t="shared" ref="R27:R33" si="4">L27*P27</f>
        <v>1880</v>
      </c>
      <c r="S27" s="71">
        <f>Q27-U27</f>
        <v>544.4</v>
      </c>
      <c r="T27" s="72">
        <f>R27-V27</f>
        <v>766.25</v>
      </c>
      <c r="U27" s="77">
        <f>916.36+W27</f>
        <v>1022.11</v>
      </c>
      <c r="V27" s="78">
        <f>1008+W27</f>
        <v>1113.75</v>
      </c>
      <c r="W27" s="79">
        <f>47*2.25</f>
        <v>105.75</v>
      </c>
      <c r="X27" s="76"/>
      <c r="Y27" s="4"/>
      <c r="Z27" s="4"/>
    </row>
    <row r="28" spans="1:26" ht="54.6" customHeight="1" x14ac:dyDescent="0.3">
      <c r="A28" s="222" t="s">
        <v>264</v>
      </c>
      <c r="B28" s="94" t="s">
        <v>265</v>
      </c>
      <c r="C28" s="213" t="s">
        <v>272</v>
      </c>
      <c r="D28" s="94" t="s">
        <v>266</v>
      </c>
      <c r="E28" s="94" t="s">
        <v>267</v>
      </c>
      <c r="F28" s="212" t="s">
        <v>270</v>
      </c>
      <c r="G28" s="96" t="s">
        <v>271</v>
      </c>
      <c r="H28" s="94"/>
      <c r="I28" s="214">
        <v>45021</v>
      </c>
      <c r="J28" s="94">
        <v>61</v>
      </c>
      <c r="K28" s="94" t="s">
        <v>228</v>
      </c>
      <c r="L28" s="94">
        <v>37</v>
      </c>
      <c r="M28" s="94"/>
      <c r="N28" s="94"/>
      <c r="O28" s="171">
        <v>4.58</v>
      </c>
      <c r="P28" s="68">
        <v>5.5</v>
      </c>
      <c r="Q28" s="69">
        <f t="shared" si="3"/>
        <v>169.46</v>
      </c>
      <c r="R28" s="70">
        <f t="shared" si="4"/>
        <v>203.5</v>
      </c>
      <c r="S28" s="71">
        <f t="shared" ref="S28:T31" si="5">Q28</f>
        <v>169.46</v>
      </c>
      <c r="T28" s="72">
        <f t="shared" si="5"/>
        <v>203.5</v>
      </c>
      <c r="U28" s="73"/>
      <c r="V28" s="74"/>
      <c r="W28" s="75"/>
      <c r="X28" s="76"/>
      <c r="Y28" s="4"/>
      <c r="Z28" s="4"/>
    </row>
    <row r="29" spans="1:26" ht="54.6" customHeight="1" x14ac:dyDescent="0.3">
      <c r="A29" s="222" t="s">
        <v>383</v>
      </c>
      <c r="B29" s="94" t="s">
        <v>389</v>
      </c>
      <c r="C29" s="94" t="s">
        <v>390</v>
      </c>
      <c r="D29" s="238" t="s">
        <v>388</v>
      </c>
      <c r="E29" s="94"/>
      <c r="F29" s="212" t="s">
        <v>385</v>
      </c>
      <c r="G29" s="96" t="s">
        <v>384</v>
      </c>
      <c r="H29" s="94"/>
      <c r="I29" s="94"/>
      <c r="J29" s="94"/>
      <c r="K29" s="94"/>
      <c r="L29" s="94">
        <v>23</v>
      </c>
      <c r="M29" s="94"/>
      <c r="N29" s="94" t="s">
        <v>377</v>
      </c>
      <c r="O29" s="167">
        <v>2.5</v>
      </c>
      <c r="P29" s="68">
        <v>3</v>
      </c>
      <c r="Q29" s="69">
        <f t="shared" si="3"/>
        <v>57.5</v>
      </c>
      <c r="R29" s="70">
        <f>L29*P29</f>
        <v>69</v>
      </c>
      <c r="S29" s="71">
        <f t="shared" si="5"/>
        <v>57.5</v>
      </c>
      <c r="T29" s="72">
        <f t="shared" si="5"/>
        <v>69</v>
      </c>
      <c r="U29" s="73"/>
      <c r="V29" s="74"/>
      <c r="W29" s="75"/>
      <c r="X29" s="76"/>
      <c r="Y29" s="4"/>
      <c r="Z29" s="4"/>
    </row>
    <row r="30" spans="1:26" ht="54.6" customHeight="1" x14ac:dyDescent="0.3">
      <c r="A30" s="222" t="s">
        <v>282</v>
      </c>
      <c r="B30" s="94"/>
      <c r="C30" s="213"/>
      <c r="D30" s="94"/>
      <c r="E30" s="94"/>
      <c r="F30" s="212" t="s">
        <v>289</v>
      </c>
      <c r="G30" s="96" t="s">
        <v>108</v>
      </c>
      <c r="H30" s="94"/>
      <c r="I30" s="94"/>
      <c r="J30" s="94"/>
      <c r="K30" s="94" t="s">
        <v>489</v>
      </c>
      <c r="L30" s="94">
        <v>2</v>
      </c>
      <c r="M30" s="94"/>
      <c r="N30" s="94"/>
      <c r="O30" s="167">
        <v>3.75</v>
      </c>
      <c r="P30" s="68">
        <v>4.5</v>
      </c>
      <c r="Q30" s="69">
        <f t="shared" si="3"/>
        <v>7.5</v>
      </c>
      <c r="R30" s="70">
        <f t="shared" si="4"/>
        <v>9</v>
      </c>
      <c r="S30" s="71">
        <f t="shared" si="5"/>
        <v>7.5</v>
      </c>
      <c r="T30" s="72">
        <f t="shared" si="5"/>
        <v>9</v>
      </c>
      <c r="U30" s="73"/>
      <c r="V30" s="74"/>
      <c r="W30" s="75"/>
      <c r="X30" s="76"/>
      <c r="Y30" s="4"/>
      <c r="Z30" s="4"/>
    </row>
    <row r="31" spans="1:26" ht="54.6" customHeight="1" x14ac:dyDescent="0.3">
      <c r="A31" s="222" t="s">
        <v>237</v>
      </c>
      <c r="B31" s="94" t="s">
        <v>238</v>
      </c>
      <c r="C31" s="239" t="s">
        <v>239</v>
      </c>
      <c r="D31" s="94" t="s">
        <v>236</v>
      </c>
      <c r="E31" s="94"/>
      <c r="F31" s="212" t="s">
        <v>429</v>
      </c>
      <c r="G31" s="96" t="s">
        <v>430</v>
      </c>
      <c r="H31" s="94"/>
      <c r="I31" s="94"/>
      <c r="J31" s="94"/>
      <c r="K31" s="94"/>
      <c r="L31" s="94">
        <v>20</v>
      </c>
      <c r="M31" s="94"/>
      <c r="N31" s="94"/>
      <c r="O31" s="167">
        <v>3.75</v>
      </c>
      <c r="P31" s="68">
        <v>4.5</v>
      </c>
      <c r="Q31" s="69">
        <f t="shared" si="3"/>
        <v>75</v>
      </c>
      <c r="R31" s="70">
        <f t="shared" si="4"/>
        <v>90</v>
      </c>
      <c r="S31" s="71">
        <f t="shared" si="5"/>
        <v>75</v>
      </c>
      <c r="T31" s="72">
        <f t="shared" si="5"/>
        <v>90</v>
      </c>
      <c r="U31" s="73"/>
      <c r="V31" s="74"/>
      <c r="W31" s="75"/>
      <c r="X31" s="76"/>
      <c r="Y31" s="4"/>
      <c r="Z31" s="4"/>
    </row>
    <row r="32" spans="1:26" ht="54.6" customHeight="1" x14ac:dyDescent="0.3">
      <c r="A32" s="222"/>
      <c r="B32" s="234" t="s">
        <v>412</v>
      </c>
      <c r="C32" s="94" t="s">
        <v>404</v>
      </c>
      <c r="D32" s="173" t="s">
        <v>406</v>
      </c>
      <c r="E32" s="94"/>
      <c r="F32" s="205" t="s">
        <v>410</v>
      </c>
      <c r="G32" s="96" t="s">
        <v>411</v>
      </c>
      <c r="H32" s="214"/>
      <c r="I32" s="94"/>
      <c r="J32" s="94">
        <v>13.5</v>
      </c>
      <c r="K32" s="94" t="s">
        <v>228</v>
      </c>
      <c r="L32" s="94">
        <v>10</v>
      </c>
      <c r="M32" s="94"/>
      <c r="N32" s="94"/>
      <c r="O32" s="167">
        <v>3.75</v>
      </c>
      <c r="P32" s="68">
        <v>4.5</v>
      </c>
      <c r="Q32" s="69">
        <f t="shared" si="3"/>
        <v>37.5</v>
      </c>
      <c r="R32" s="70">
        <f t="shared" si="4"/>
        <v>45</v>
      </c>
      <c r="S32" s="71">
        <f>Q32-U32</f>
        <v>12.5</v>
      </c>
      <c r="T32" s="72">
        <f>R32-V32</f>
        <v>20</v>
      </c>
      <c r="U32" s="77">
        <v>25</v>
      </c>
      <c r="V32" s="78">
        <v>25</v>
      </c>
      <c r="W32" s="75"/>
      <c r="X32" s="170">
        <f>2.5*L32</f>
        <v>25</v>
      </c>
      <c r="Y32" s="4"/>
      <c r="Z32" s="4"/>
    </row>
    <row r="33" spans="1:26" ht="60.6" customHeight="1" x14ac:dyDescent="0.3">
      <c r="A33" s="93"/>
      <c r="B33" s="94" t="s">
        <v>138</v>
      </c>
      <c r="C33" s="94" t="s">
        <v>95</v>
      </c>
      <c r="D33" s="94" t="s">
        <v>96</v>
      </c>
      <c r="E33" s="96" t="s">
        <v>467</v>
      </c>
      <c r="F33" s="205" t="s">
        <v>140</v>
      </c>
      <c r="G33" s="94" t="s">
        <v>139</v>
      </c>
      <c r="H33" s="94"/>
      <c r="I33" s="94"/>
      <c r="J33" s="94">
        <v>26.4</v>
      </c>
      <c r="K33" s="94" t="s">
        <v>228</v>
      </c>
      <c r="L33" s="94">
        <v>16</v>
      </c>
      <c r="M33" s="94"/>
      <c r="N33" s="94"/>
      <c r="O33" s="167">
        <v>4.58</v>
      </c>
      <c r="P33" s="68">
        <v>5.5</v>
      </c>
      <c r="Q33" s="69">
        <f t="shared" si="3"/>
        <v>73.28</v>
      </c>
      <c r="R33" s="70">
        <f t="shared" si="4"/>
        <v>88</v>
      </c>
      <c r="S33" s="71">
        <f>Q33</f>
        <v>73.28</v>
      </c>
      <c r="T33" s="72">
        <v>88</v>
      </c>
      <c r="U33" s="73"/>
      <c r="V33" s="74"/>
      <c r="W33" s="75"/>
      <c r="X33" s="76"/>
      <c r="Y33" s="4"/>
      <c r="Z33" s="4"/>
    </row>
    <row r="34" spans="1:26" ht="60.6" customHeight="1" x14ac:dyDescent="0.3">
      <c r="A34" s="497" t="s">
        <v>105</v>
      </c>
      <c r="B34" s="475" t="s">
        <v>413</v>
      </c>
      <c r="C34" s="475" t="s">
        <v>104</v>
      </c>
      <c r="D34" s="499" t="s">
        <v>414</v>
      </c>
      <c r="E34" s="502"/>
      <c r="F34" s="501" t="s">
        <v>423</v>
      </c>
      <c r="G34" s="94" t="s">
        <v>425</v>
      </c>
      <c r="H34" s="94"/>
      <c r="I34" s="94"/>
      <c r="J34" s="94"/>
      <c r="K34" s="475" t="s">
        <v>228</v>
      </c>
      <c r="L34" s="94">
        <v>5</v>
      </c>
      <c r="M34" s="94"/>
      <c r="N34" s="94"/>
      <c r="O34" s="167"/>
      <c r="P34" s="68">
        <v>33</v>
      </c>
      <c r="Q34" s="485">
        <v>422.5</v>
      </c>
      <c r="R34" s="487">
        <f>342+165</f>
        <v>507</v>
      </c>
      <c r="S34" s="483">
        <f>Q34-U34</f>
        <v>17.769999999999982</v>
      </c>
      <c r="T34" s="481">
        <f>R34-V34</f>
        <v>73</v>
      </c>
      <c r="U34" s="473">
        <f>292.73+(8*14)</f>
        <v>404.73</v>
      </c>
      <c r="V34" s="471">
        <f>322+(8*14)</f>
        <v>434</v>
      </c>
      <c r="W34" s="75"/>
      <c r="X34" s="76"/>
      <c r="Y34" s="4"/>
      <c r="Z34" s="4"/>
    </row>
    <row r="35" spans="1:26" ht="60.6" customHeight="1" x14ac:dyDescent="0.3">
      <c r="A35" s="498"/>
      <c r="B35" s="476"/>
      <c r="C35" s="476"/>
      <c r="D35" s="500"/>
      <c r="E35" s="502"/>
      <c r="F35" s="501"/>
      <c r="G35" s="94" t="s">
        <v>424</v>
      </c>
      <c r="H35" s="94"/>
      <c r="I35" s="94"/>
      <c r="J35" s="94"/>
      <c r="K35" s="476"/>
      <c r="L35" s="94">
        <v>9</v>
      </c>
      <c r="M35" s="94"/>
      <c r="N35" s="94"/>
      <c r="O35" s="167"/>
      <c r="P35" s="68">
        <v>38</v>
      </c>
      <c r="Q35" s="486"/>
      <c r="R35" s="488"/>
      <c r="S35" s="484"/>
      <c r="T35" s="482"/>
      <c r="U35" s="474"/>
      <c r="V35" s="472"/>
      <c r="W35" s="75"/>
      <c r="X35" s="76"/>
      <c r="Y35" s="4"/>
      <c r="Z35" s="4"/>
    </row>
    <row r="36" spans="1:26" ht="54.6" customHeight="1" x14ac:dyDescent="0.3">
      <c r="A36" s="93" t="s">
        <v>282</v>
      </c>
      <c r="B36" s="94"/>
      <c r="C36" s="94"/>
      <c r="D36" s="94"/>
      <c r="E36" s="94"/>
      <c r="F36" s="212" t="s">
        <v>283</v>
      </c>
      <c r="G36" s="96" t="s">
        <v>192</v>
      </c>
      <c r="H36" s="94"/>
      <c r="I36" s="94"/>
      <c r="J36" s="94"/>
      <c r="K36" s="94" t="s">
        <v>489</v>
      </c>
      <c r="L36" s="94">
        <v>4</v>
      </c>
      <c r="M36" s="94"/>
      <c r="N36" s="94"/>
      <c r="O36" s="167">
        <v>3.75</v>
      </c>
      <c r="P36" s="68">
        <v>4.5</v>
      </c>
      <c r="Q36" s="69">
        <v>11.25</v>
      </c>
      <c r="R36" s="70">
        <f>L36*P36</f>
        <v>18</v>
      </c>
      <c r="S36" s="71">
        <f>Q36-U36</f>
        <v>1.25</v>
      </c>
      <c r="T36" s="72">
        <f>R36-X36</f>
        <v>8</v>
      </c>
      <c r="U36" s="77">
        <f>V36</f>
        <v>10</v>
      </c>
      <c r="V36" s="78">
        <f>X36</f>
        <v>10</v>
      </c>
      <c r="W36" s="75"/>
      <c r="X36" s="170">
        <f>2.5*L36</f>
        <v>10</v>
      </c>
      <c r="Y36" s="4"/>
      <c r="Z36" s="4"/>
    </row>
    <row r="37" spans="1:26" ht="54.6" customHeight="1" x14ac:dyDescent="0.3">
      <c r="A37" s="93"/>
      <c r="B37" s="94" t="s">
        <v>263</v>
      </c>
      <c r="C37" s="96" t="s">
        <v>274</v>
      </c>
      <c r="D37" s="94" t="s">
        <v>273</v>
      </c>
      <c r="E37" s="94"/>
      <c r="F37" s="212" t="s">
        <v>370</v>
      </c>
      <c r="G37" s="96" t="s">
        <v>371</v>
      </c>
      <c r="H37" s="94"/>
      <c r="I37" s="94"/>
      <c r="J37" s="94">
        <v>95.7</v>
      </c>
      <c r="K37" s="94"/>
      <c r="L37" s="94">
        <v>46</v>
      </c>
      <c r="M37" s="94"/>
      <c r="N37" s="94"/>
      <c r="O37" s="167">
        <v>4.58</v>
      </c>
      <c r="P37" s="68">
        <v>5.5</v>
      </c>
      <c r="Q37" s="69">
        <f>L37*O37</f>
        <v>210.68</v>
      </c>
      <c r="R37" s="70">
        <f>L37*P37</f>
        <v>253</v>
      </c>
      <c r="S37" s="71">
        <f>Q37</f>
        <v>210.68</v>
      </c>
      <c r="T37" s="72">
        <f>R37</f>
        <v>253</v>
      </c>
      <c r="U37" s="73"/>
      <c r="V37" s="74"/>
      <c r="W37" s="75"/>
      <c r="X37" s="76"/>
      <c r="Y37" s="4"/>
      <c r="Z37" s="4"/>
    </row>
    <row r="38" spans="1:26" ht="54.6" customHeight="1" x14ac:dyDescent="0.3">
      <c r="A38" s="93" t="s">
        <v>98</v>
      </c>
      <c r="B38" s="94" t="s">
        <v>101</v>
      </c>
      <c r="C38" s="96" t="s">
        <v>100</v>
      </c>
      <c r="D38" s="94" t="s">
        <v>99</v>
      </c>
      <c r="E38" s="96" t="s">
        <v>102</v>
      </c>
      <c r="F38" s="205" t="s">
        <v>227</v>
      </c>
      <c r="G38" s="96" t="s">
        <v>97</v>
      </c>
      <c r="H38" s="94"/>
      <c r="I38" s="94"/>
      <c r="J38" s="94"/>
      <c r="K38" s="94" t="s">
        <v>489</v>
      </c>
      <c r="L38" s="94">
        <v>49</v>
      </c>
      <c r="M38" s="94"/>
      <c r="N38" s="94"/>
      <c r="O38" s="167"/>
      <c r="P38" s="68">
        <v>38</v>
      </c>
      <c r="Q38" s="320">
        <v>1551.67</v>
      </c>
      <c r="R38" s="70">
        <f>L38*P38</f>
        <v>1862</v>
      </c>
      <c r="S38" s="319">
        <f>Q38-U38</f>
        <v>114.22000000000003</v>
      </c>
      <c r="T38" s="318">
        <f>R38-V38</f>
        <v>320</v>
      </c>
      <c r="U38" s="316">
        <v>1437.45</v>
      </c>
      <c r="V38" s="317">
        <v>1542</v>
      </c>
      <c r="W38" s="75"/>
      <c r="X38" s="76"/>
      <c r="Y38" s="4"/>
      <c r="Z38" s="4"/>
    </row>
    <row r="39" spans="1:26" ht="54.6" customHeight="1" x14ac:dyDescent="0.3">
      <c r="A39" s="223" t="s">
        <v>282</v>
      </c>
      <c r="B39" s="187"/>
      <c r="C39" s="187"/>
      <c r="D39" s="187"/>
      <c r="E39" s="187"/>
      <c r="F39" s="200" t="s">
        <v>290</v>
      </c>
      <c r="G39" s="195" t="s">
        <v>108</v>
      </c>
      <c r="H39" s="187"/>
      <c r="I39" s="187"/>
      <c r="J39" s="187"/>
      <c r="K39" s="187"/>
      <c r="L39" s="187"/>
      <c r="M39" s="187"/>
      <c r="N39" s="187"/>
      <c r="O39" s="202"/>
      <c r="P39" s="202">
        <v>4.5</v>
      </c>
      <c r="Q39" s="202"/>
      <c r="R39" s="202"/>
      <c r="S39" s="202"/>
      <c r="T39" s="324"/>
      <c r="U39" s="203"/>
      <c r="V39" s="203"/>
      <c r="W39" s="203"/>
      <c r="X39" s="229"/>
      <c r="Y39" s="4"/>
      <c r="Z39" s="4"/>
    </row>
    <row r="40" spans="1:26" ht="54.6" customHeight="1" x14ac:dyDescent="0.3">
      <c r="A40" s="232" t="s">
        <v>382</v>
      </c>
      <c r="B40" s="94" t="s">
        <v>381</v>
      </c>
      <c r="C40" s="236" t="s">
        <v>380</v>
      </c>
      <c r="D40" s="96" t="s">
        <v>421</v>
      </c>
      <c r="E40" s="94"/>
      <c r="F40" s="205" t="s">
        <v>420</v>
      </c>
      <c r="G40" s="96" t="s">
        <v>378</v>
      </c>
      <c r="H40" s="94"/>
      <c r="I40" s="94"/>
      <c r="J40" s="94"/>
      <c r="K40" s="94" t="s">
        <v>228</v>
      </c>
      <c r="L40" s="94">
        <v>23</v>
      </c>
      <c r="M40" s="94"/>
      <c r="N40" s="94"/>
      <c r="O40" s="167">
        <v>3.75</v>
      </c>
      <c r="P40" s="68">
        <v>4.5</v>
      </c>
      <c r="Q40" s="69">
        <f>L40*O40</f>
        <v>86.25</v>
      </c>
      <c r="R40" s="70">
        <f>L40*P40</f>
        <v>103.5</v>
      </c>
      <c r="S40" s="71">
        <v>86.25</v>
      </c>
      <c r="T40" s="72">
        <v>103.5</v>
      </c>
      <c r="U40" s="73"/>
      <c r="V40" s="74"/>
      <c r="W40" s="75"/>
      <c r="X40" s="76"/>
      <c r="Y40" s="4"/>
      <c r="Z40" s="4"/>
    </row>
    <row r="41" spans="1:26" ht="54.6" customHeight="1" x14ac:dyDescent="0.3">
      <c r="A41" s="232"/>
      <c r="B41" s="234" t="s">
        <v>484</v>
      </c>
      <c r="C41" s="233" t="s">
        <v>465</v>
      </c>
      <c r="D41" s="259" t="s">
        <v>473</v>
      </c>
      <c r="E41" s="230"/>
      <c r="F41" s="231" t="s">
        <v>483</v>
      </c>
      <c r="G41" s="230" t="s">
        <v>464</v>
      </c>
      <c r="H41" s="94"/>
      <c r="I41" s="94"/>
      <c r="J41" s="94"/>
      <c r="K41" s="94" t="s">
        <v>228</v>
      </c>
      <c r="L41" s="94">
        <v>10</v>
      </c>
      <c r="M41" s="94"/>
      <c r="N41" s="94"/>
      <c r="O41" s="167">
        <v>3.75</v>
      </c>
      <c r="P41" s="68">
        <v>4.5</v>
      </c>
      <c r="Q41" s="69">
        <v>37.5</v>
      </c>
      <c r="R41" s="70">
        <f>L41*P41</f>
        <v>45</v>
      </c>
      <c r="S41" s="71">
        <v>37.5</v>
      </c>
      <c r="T41" s="72">
        <v>45</v>
      </c>
      <c r="U41" s="73"/>
      <c r="V41" s="74"/>
      <c r="W41" s="75"/>
      <c r="X41" s="76"/>
      <c r="Y41" s="4"/>
      <c r="Z41" s="4"/>
    </row>
    <row r="42" spans="1:26" ht="54.6" customHeight="1" x14ac:dyDescent="0.3">
      <c r="A42" s="232"/>
      <c r="B42" s="234" t="s">
        <v>475</v>
      </c>
      <c r="C42" s="94" t="s">
        <v>474</v>
      </c>
      <c r="D42" s="259" t="s">
        <v>476</v>
      </c>
      <c r="E42" s="94" t="s">
        <v>477</v>
      </c>
      <c r="F42" s="212" t="s">
        <v>498</v>
      </c>
      <c r="G42" s="96" t="s">
        <v>155</v>
      </c>
      <c r="H42" s="94"/>
      <c r="I42" s="94"/>
      <c r="J42" s="94"/>
      <c r="K42" s="94" t="s">
        <v>489</v>
      </c>
      <c r="L42" s="94">
        <v>15</v>
      </c>
      <c r="M42" s="94"/>
      <c r="N42" s="94"/>
      <c r="O42" s="167">
        <v>3.75</v>
      </c>
      <c r="P42" s="68">
        <v>4.5</v>
      </c>
      <c r="Q42" s="69">
        <f>L42*O42</f>
        <v>56.25</v>
      </c>
      <c r="R42" s="70">
        <f>L42*P42</f>
        <v>67.5</v>
      </c>
      <c r="S42" s="71">
        <f>Q42-W42</f>
        <v>22.5</v>
      </c>
      <c r="T42" s="72">
        <f>R42-W42</f>
        <v>33.75</v>
      </c>
      <c r="U42" s="77">
        <v>33.75</v>
      </c>
      <c r="V42" s="78">
        <v>33.75</v>
      </c>
      <c r="W42" s="79">
        <f>2.25*L42</f>
        <v>33.75</v>
      </c>
      <c r="X42" s="76"/>
      <c r="Y42" s="36" t="s">
        <v>499</v>
      </c>
      <c r="Z42" s="4"/>
    </row>
    <row r="43" spans="1:26" ht="54.6" customHeight="1" x14ac:dyDescent="0.3">
      <c r="A43" s="232" t="s">
        <v>500</v>
      </c>
      <c r="B43" s="234" t="s">
        <v>501</v>
      </c>
      <c r="C43" s="94"/>
      <c r="D43" s="240" t="s">
        <v>510</v>
      </c>
      <c r="E43" s="94"/>
      <c r="F43" s="212" t="s">
        <v>502</v>
      </c>
      <c r="G43" s="96" t="s">
        <v>41</v>
      </c>
      <c r="H43" s="94"/>
      <c r="I43" s="94"/>
      <c r="J43" s="94"/>
      <c r="K43" s="94"/>
      <c r="L43" s="94">
        <v>12</v>
      </c>
      <c r="M43" s="94"/>
      <c r="N43" s="94"/>
      <c r="O43" s="167">
        <v>0</v>
      </c>
      <c r="P43" s="68">
        <v>0</v>
      </c>
      <c r="Q43" s="69">
        <v>0</v>
      </c>
      <c r="R43" s="70">
        <v>0</v>
      </c>
      <c r="S43" s="71">
        <v>0</v>
      </c>
      <c r="T43" s="72">
        <v>0</v>
      </c>
      <c r="U43" s="73"/>
      <c r="V43" s="74"/>
      <c r="W43" s="75"/>
      <c r="X43" s="76"/>
      <c r="Y43" s="36"/>
      <c r="Z43" s="4"/>
    </row>
    <row r="44" spans="1:26" ht="54.6" customHeight="1" x14ac:dyDescent="0.3">
      <c r="A44" s="232" t="s">
        <v>500</v>
      </c>
      <c r="B44" s="234" t="s">
        <v>501</v>
      </c>
      <c r="C44" s="94"/>
      <c r="D44" s="259" t="s">
        <v>510</v>
      </c>
      <c r="E44" s="94"/>
      <c r="F44" s="212" t="s">
        <v>503</v>
      </c>
      <c r="G44" s="96" t="s">
        <v>41</v>
      </c>
      <c r="H44" s="94"/>
      <c r="I44" s="94"/>
      <c r="J44" s="94"/>
      <c r="K44" s="94"/>
      <c r="L44" s="94">
        <v>13</v>
      </c>
      <c r="M44" s="94"/>
      <c r="N44" s="94"/>
      <c r="O44" s="167">
        <v>0</v>
      </c>
      <c r="P44" s="68">
        <v>0</v>
      </c>
      <c r="Q44" s="69">
        <v>0</v>
      </c>
      <c r="R44" s="70">
        <v>0</v>
      </c>
      <c r="S44" s="71">
        <v>0</v>
      </c>
      <c r="T44" s="72">
        <v>0</v>
      </c>
      <c r="U44" s="73"/>
      <c r="V44" s="74"/>
      <c r="W44" s="75"/>
      <c r="X44" s="76"/>
      <c r="Y44" s="36"/>
      <c r="Z44" s="4"/>
    </row>
    <row r="45" spans="1:26" ht="54.6" customHeight="1" x14ac:dyDescent="0.3">
      <c r="A45" s="93" t="s">
        <v>89</v>
      </c>
      <c r="B45" s="94" t="s">
        <v>373</v>
      </c>
      <c r="C45" s="94"/>
      <c r="D45" s="242"/>
      <c r="E45" s="94"/>
      <c r="F45" s="212" t="s">
        <v>372</v>
      </c>
      <c r="G45" s="96" t="s">
        <v>374</v>
      </c>
      <c r="H45" s="94"/>
      <c r="I45" s="94"/>
      <c r="J45" s="94"/>
      <c r="K45" s="94"/>
      <c r="L45" s="94">
        <v>23</v>
      </c>
      <c r="M45" s="94"/>
      <c r="N45" s="94" t="s">
        <v>88</v>
      </c>
      <c r="O45" s="167">
        <v>2.5</v>
      </c>
      <c r="P45" s="68">
        <v>3</v>
      </c>
      <c r="Q45" s="69">
        <f>L45*O45</f>
        <v>57.5</v>
      </c>
      <c r="R45" s="70">
        <f>L45*P45</f>
        <v>69</v>
      </c>
      <c r="S45" s="71">
        <v>57.5</v>
      </c>
      <c r="T45" s="72">
        <v>69</v>
      </c>
      <c r="U45" s="73"/>
      <c r="V45" s="74"/>
      <c r="W45" s="75"/>
      <c r="X45" s="76"/>
      <c r="Y45" s="4"/>
      <c r="Z45" s="4"/>
    </row>
    <row r="46" spans="1:26" ht="54.6" customHeight="1" x14ac:dyDescent="0.3">
      <c r="A46" s="93" t="s">
        <v>282</v>
      </c>
      <c r="B46" s="94"/>
      <c r="C46" s="94"/>
      <c r="D46" s="94"/>
      <c r="E46" s="94"/>
      <c r="F46" s="212" t="s">
        <v>284</v>
      </c>
      <c r="G46" s="96" t="s">
        <v>192</v>
      </c>
      <c r="H46" s="243"/>
      <c r="I46" s="94"/>
      <c r="J46" s="94"/>
      <c r="K46" s="94" t="s">
        <v>489</v>
      </c>
      <c r="L46" s="94">
        <v>3</v>
      </c>
      <c r="M46" s="94"/>
      <c r="N46" s="94"/>
      <c r="O46" s="167">
        <v>3.75</v>
      </c>
      <c r="P46" s="68">
        <v>4.5</v>
      </c>
      <c r="Q46" s="69">
        <f>L46*O46</f>
        <v>11.25</v>
      </c>
      <c r="R46" s="70">
        <f>L46*P46</f>
        <v>13.5</v>
      </c>
      <c r="S46" s="71">
        <f>Q46-U46</f>
        <v>3.75</v>
      </c>
      <c r="T46" s="72">
        <f>R46-V46</f>
        <v>6</v>
      </c>
      <c r="U46" s="77">
        <v>7.5</v>
      </c>
      <c r="V46" s="78">
        <v>7.5</v>
      </c>
      <c r="W46" s="75"/>
      <c r="X46" s="170">
        <f>2.5*L46</f>
        <v>7.5</v>
      </c>
      <c r="Y46" s="4"/>
      <c r="Z46" s="4"/>
    </row>
    <row r="47" spans="1:26" ht="50.4" customHeight="1" x14ac:dyDescent="0.3">
      <c r="A47" s="93" t="s">
        <v>65</v>
      </c>
      <c r="B47" s="94" t="s">
        <v>66</v>
      </c>
      <c r="C47" s="94" t="s">
        <v>67</v>
      </c>
      <c r="D47" s="94" t="s">
        <v>76</v>
      </c>
      <c r="E47" s="94"/>
      <c r="F47" s="244" t="s">
        <v>64</v>
      </c>
      <c r="G47" s="94" t="s">
        <v>234</v>
      </c>
      <c r="H47" s="94"/>
      <c r="I47" s="94"/>
      <c r="J47" s="94"/>
      <c r="K47" s="94"/>
      <c r="L47" s="94">
        <v>56</v>
      </c>
      <c r="M47" s="94"/>
      <c r="N47" s="94"/>
      <c r="O47" s="167">
        <v>23.33</v>
      </c>
      <c r="P47" s="68">
        <v>28</v>
      </c>
      <c r="Q47" s="69">
        <f>L47*O47</f>
        <v>1306.48</v>
      </c>
      <c r="R47" s="70">
        <f>L47*P47</f>
        <v>1568</v>
      </c>
      <c r="S47" s="71">
        <f>Q47-U47</f>
        <v>270.12000000000012</v>
      </c>
      <c r="T47" s="72">
        <f>R47-V47</f>
        <v>428</v>
      </c>
      <c r="U47" s="77">
        <v>1036.3599999999999</v>
      </c>
      <c r="V47" s="78">
        <v>1140</v>
      </c>
      <c r="W47" s="75"/>
      <c r="X47" s="76"/>
      <c r="Y47" s="4"/>
      <c r="Z47" s="4"/>
    </row>
    <row r="48" spans="1:26" ht="50.4" customHeight="1" x14ac:dyDescent="0.3">
      <c r="A48" s="232" t="s">
        <v>500</v>
      </c>
      <c r="B48" s="234" t="s">
        <v>501</v>
      </c>
      <c r="C48" s="94"/>
      <c r="D48" s="235" t="s">
        <v>510</v>
      </c>
      <c r="E48" s="94"/>
      <c r="F48" s="244" t="s">
        <v>504</v>
      </c>
      <c r="G48" s="94" t="s">
        <v>505</v>
      </c>
      <c r="H48" s="94"/>
      <c r="I48" s="94"/>
      <c r="J48" s="94"/>
      <c r="K48" s="94"/>
      <c r="L48" s="94">
        <v>24</v>
      </c>
      <c r="M48" s="94"/>
      <c r="N48" s="94"/>
      <c r="O48" s="167">
        <v>0</v>
      </c>
      <c r="P48" s="68">
        <v>0</v>
      </c>
      <c r="Q48" s="69">
        <v>0</v>
      </c>
      <c r="R48" s="70">
        <v>0</v>
      </c>
      <c r="S48" s="71">
        <v>0</v>
      </c>
      <c r="T48" s="72">
        <v>0</v>
      </c>
      <c r="U48" s="73"/>
      <c r="V48" s="74"/>
      <c r="W48" s="75"/>
      <c r="X48" s="76"/>
      <c r="Y48" s="4"/>
      <c r="Z48" s="4"/>
    </row>
    <row r="49" spans="1:26" x14ac:dyDescent="0.3">
      <c r="A49" s="223" t="s">
        <v>282</v>
      </c>
      <c r="B49" s="187"/>
      <c r="C49" s="187"/>
      <c r="D49" s="187"/>
      <c r="E49" s="187"/>
      <c r="F49" s="245" t="s">
        <v>291</v>
      </c>
      <c r="G49" s="195" t="s">
        <v>108</v>
      </c>
      <c r="H49" s="187"/>
      <c r="I49" s="187"/>
      <c r="J49" s="187"/>
      <c r="K49" s="187"/>
      <c r="L49" s="187"/>
      <c r="M49" s="187"/>
      <c r="N49" s="187"/>
      <c r="O49" s="202"/>
      <c r="P49" s="202"/>
      <c r="Q49" s="202"/>
      <c r="R49" s="202"/>
      <c r="S49" s="202"/>
      <c r="T49" s="202"/>
      <c r="U49" s="203"/>
      <c r="V49" s="203"/>
      <c r="W49" s="203"/>
      <c r="X49" s="229"/>
    </row>
    <row r="50" spans="1:26" x14ac:dyDescent="0.3">
      <c r="A50" s="232" t="s">
        <v>500</v>
      </c>
      <c r="B50" s="94" t="s">
        <v>508</v>
      </c>
      <c r="C50" s="94"/>
      <c r="D50" s="259" t="s">
        <v>511</v>
      </c>
      <c r="E50" s="94"/>
      <c r="F50" s="212" t="s">
        <v>506</v>
      </c>
      <c r="G50" s="96" t="s">
        <v>41</v>
      </c>
      <c r="H50" s="94"/>
      <c r="I50" s="94"/>
      <c r="J50" s="94"/>
      <c r="K50" s="94"/>
      <c r="L50" s="94">
        <v>22</v>
      </c>
      <c r="M50" s="94"/>
      <c r="N50" s="94"/>
      <c r="O50" s="167">
        <v>0</v>
      </c>
      <c r="P50" s="68">
        <v>0</v>
      </c>
      <c r="Q50" s="69">
        <v>0</v>
      </c>
      <c r="R50" s="70">
        <v>0</v>
      </c>
      <c r="S50" s="71">
        <v>0</v>
      </c>
      <c r="T50" s="72">
        <v>0</v>
      </c>
      <c r="U50" s="73"/>
      <c r="V50" s="74"/>
      <c r="W50" s="75"/>
      <c r="X50" s="76"/>
    </row>
    <row r="51" spans="1:26" x14ac:dyDescent="0.3">
      <c r="A51" s="232" t="s">
        <v>500</v>
      </c>
      <c r="B51" s="94" t="s">
        <v>508</v>
      </c>
      <c r="C51" s="94"/>
      <c r="D51" s="94" t="s">
        <v>511</v>
      </c>
      <c r="E51" s="94"/>
      <c r="F51" s="212" t="s">
        <v>507</v>
      </c>
      <c r="G51" s="96" t="s">
        <v>41</v>
      </c>
      <c r="H51" s="94"/>
      <c r="I51" s="94"/>
      <c r="J51" s="94"/>
      <c r="K51" s="94"/>
      <c r="L51" s="94">
        <v>22</v>
      </c>
      <c r="M51" s="94"/>
      <c r="N51" s="94"/>
      <c r="O51" s="167">
        <v>0</v>
      </c>
      <c r="P51" s="68">
        <v>0</v>
      </c>
      <c r="Q51" s="69">
        <v>0</v>
      </c>
      <c r="R51" s="70">
        <v>0</v>
      </c>
      <c r="S51" s="71">
        <v>0</v>
      </c>
      <c r="T51" s="72">
        <v>0</v>
      </c>
      <c r="U51" s="73"/>
      <c r="V51" s="74"/>
      <c r="W51" s="75"/>
      <c r="X51" s="76"/>
    </row>
    <row r="52" spans="1:26" x14ac:dyDescent="0.3">
      <c r="A52" s="232" t="s">
        <v>500</v>
      </c>
      <c r="B52" s="94" t="s">
        <v>508</v>
      </c>
      <c r="C52" s="94"/>
      <c r="D52" s="94" t="s">
        <v>511</v>
      </c>
      <c r="E52" s="94"/>
      <c r="F52" s="212" t="s">
        <v>509</v>
      </c>
      <c r="G52" s="96" t="s">
        <v>41</v>
      </c>
      <c r="H52" s="94"/>
      <c r="I52" s="94"/>
      <c r="J52" s="94"/>
      <c r="K52" s="94"/>
      <c r="L52" s="94">
        <v>26</v>
      </c>
      <c r="M52" s="94"/>
      <c r="N52" s="94"/>
      <c r="O52" s="167">
        <v>0</v>
      </c>
      <c r="P52" s="68">
        <v>0</v>
      </c>
      <c r="Q52" s="69">
        <v>0</v>
      </c>
      <c r="R52" s="70">
        <v>0</v>
      </c>
      <c r="S52" s="71">
        <v>0</v>
      </c>
      <c r="T52" s="72">
        <v>0</v>
      </c>
      <c r="U52" s="73"/>
      <c r="V52" s="74"/>
      <c r="W52" s="75"/>
      <c r="X52" s="76"/>
    </row>
    <row r="53" spans="1:26" s="194" customFormat="1" x14ac:dyDescent="0.3">
      <c r="A53" s="223" t="s">
        <v>282</v>
      </c>
      <c r="B53" s="187"/>
      <c r="C53" s="187"/>
      <c r="D53" s="187"/>
      <c r="E53" s="187"/>
      <c r="F53" s="200" t="s">
        <v>520</v>
      </c>
      <c r="G53" s="195" t="s">
        <v>108</v>
      </c>
      <c r="H53" s="187"/>
      <c r="I53" s="187"/>
      <c r="J53" s="187"/>
      <c r="K53" s="187"/>
      <c r="L53" s="187"/>
      <c r="M53" s="187"/>
      <c r="N53" s="187"/>
      <c r="O53" s="202"/>
      <c r="P53" s="202"/>
      <c r="Q53" s="202"/>
      <c r="R53" s="202"/>
      <c r="S53" s="202"/>
      <c r="T53" s="202"/>
      <c r="U53" s="203"/>
      <c r="V53" s="203"/>
      <c r="W53" s="203"/>
      <c r="X53" s="229"/>
    </row>
    <row r="54" spans="1:26" ht="54" customHeight="1" x14ac:dyDescent="0.3">
      <c r="A54" s="222" t="s">
        <v>487</v>
      </c>
      <c r="B54" s="94" t="s">
        <v>486</v>
      </c>
      <c r="C54" s="94" t="s">
        <v>472</v>
      </c>
      <c r="D54" s="263" t="s">
        <v>471</v>
      </c>
      <c r="E54" s="94"/>
      <c r="F54" s="212" t="s">
        <v>485</v>
      </c>
      <c r="G54" s="96" t="s">
        <v>108</v>
      </c>
      <c r="H54" s="94"/>
      <c r="I54" s="94"/>
      <c r="J54" s="94">
        <v>13.5</v>
      </c>
      <c r="K54" s="94"/>
      <c r="L54" s="94">
        <v>5</v>
      </c>
      <c r="M54" s="94"/>
      <c r="N54" s="94"/>
      <c r="O54" s="167">
        <v>3.75</v>
      </c>
      <c r="P54" s="68">
        <v>4.5</v>
      </c>
      <c r="Q54" s="69">
        <f>L54*O54</f>
        <v>18.75</v>
      </c>
      <c r="R54" s="70">
        <f>L54*P54</f>
        <v>22.5</v>
      </c>
      <c r="S54" s="71">
        <v>18.75</v>
      </c>
      <c r="T54" s="72">
        <v>22.5</v>
      </c>
      <c r="U54" s="73"/>
      <c r="V54" s="74"/>
      <c r="W54" s="75"/>
      <c r="X54" s="76"/>
    </row>
    <row r="55" spans="1:26" ht="54" customHeight="1" x14ac:dyDescent="0.3">
      <c r="A55" s="222" t="s">
        <v>521</v>
      </c>
      <c r="B55" s="262" t="s">
        <v>522</v>
      </c>
      <c r="C55" s="351" t="s">
        <v>524</v>
      </c>
      <c r="D55" s="259" t="s">
        <v>523</v>
      </c>
      <c r="E55" s="94"/>
      <c r="F55" s="212" t="s">
        <v>526</v>
      </c>
      <c r="G55" s="260" t="s">
        <v>42</v>
      </c>
      <c r="H55" s="94"/>
      <c r="I55" s="94"/>
      <c r="J55" s="94"/>
      <c r="K55" s="94"/>
      <c r="L55" s="94">
        <v>20</v>
      </c>
      <c r="M55" s="94"/>
      <c r="N55" s="94"/>
      <c r="O55" s="167">
        <v>3.75</v>
      </c>
      <c r="P55" s="68">
        <v>4.5</v>
      </c>
      <c r="Q55" s="69">
        <f>L55*O55</f>
        <v>75</v>
      </c>
      <c r="R55" s="70">
        <f>L55*P55</f>
        <v>90</v>
      </c>
      <c r="S55" s="71">
        <v>90</v>
      </c>
      <c r="T55" s="72">
        <v>90</v>
      </c>
      <c r="U55" s="73"/>
      <c r="V55" s="74"/>
      <c r="W55" s="75"/>
      <c r="X55" s="76"/>
    </row>
    <row r="56" spans="1:26" x14ac:dyDescent="0.3">
      <c r="A56" s="223" t="s">
        <v>282</v>
      </c>
      <c r="B56" s="187"/>
      <c r="C56" s="187"/>
      <c r="D56" s="187"/>
      <c r="E56" s="187"/>
      <c r="F56" s="261" t="s">
        <v>292</v>
      </c>
      <c r="G56" s="195" t="s">
        <v>108</v>
      </c>
      <c r="H56" s="187"/>
      <c r="I56" s="187"/>
      <c r="J56" s="187"/>
      <c r="K56" s="187"/>
      <c r="L56" s="187"/>
      <c r="M56" s="187"/>
      <c r="N56" s="187"/>
      <c r="O56" s="202"/>
      <c r="P56" s="202">
        <v>4.5</v>
      </c>
      <c r="Q56" s="202"/>
      <c r="R56" s="202"/>
      <c r="S56" s="202"/>
      <c r="T56" s="202"/>
      <c r="U56" s="203"/>
      <c r="V56" s="203"/>
      <c r="W56" s="203"/>
      <c r="X56" s="229"/>
    </row>
    <row r="57" spans="1:26" x14ac:dyDescent="0.3">
      <c r="A57" s="223" t="s">
        <v>282</v>
      </c>
      <c r="B57" s="187"/>
      <c r="C57" s="187"/>
      <c r="D57" s="187"/>
      <c r="E57" s="187"/>
      <c r="F57" s="200" t="s">
        <v>293</v>
      </c>
      <c r="G57" s="195" t="s">
        <v>108</v>
      </c>
      <c r="H57" s="187"/>
      <c r="I57" s="187"/>
      <c r="J57" s="187"/>
      <c r="K57" s="187"/>
      <c r="L57" s="187">
        <v>0</v>
      </c>
      <c r="M57" s="187"/>
      <c r="N57" s="187"/>
      <c r="O57" s="202"/>
      <c r="P57" s="202">
        <v>4.5</v>
      </c>
      <c r="Q57" s="202">
        <f>O57*L57</f>
        <v>0</v>
      </c>
      <c r="R57" s="202"/>
      <c r="S57" s="202"/>
      <c r="T57" s="202"/>
      <c r="U57" s="203"/>
      <c r="V57" s="203"/>
      <c r="W57" s="203"/>
      <c r="X57" s="229"/>
      <c r="Y57" t="s">
        <v>585</v>
      </c>
    </row>
    <row r="58" spans="1:26" s="259" customFormat="1" x14ac:dyDescent="0.3">
      <c r="A58" s="93" t="s">
        <v>416</v>
      </c>
      <c r="B58" s="94" t="s">
        <v>417</v>
      </c>
      <c r="C58" s="94" t="s">
        <v>397</v>
      </c>
      <c r="D58" s="263" t="s">
        <v>398</v>
      </c>
      <c r="E58" s="94"/>
      <c r="F58" s="212" t="s">
        <v>415</v>
      </c>
      <c r="G58" s="272" t="s">
        <v>42</v>
      </c>
      <c r="H58" s="94"/>
      <c r="I58" s="94"/>
      <c r="J58" s="94">
        <v>82.5</v>
      </c>
      <c r="K58" s="94" t="s">
        <v>228</v>
      </c>
      <c r="L58" s="94">
        <v>49</v>
      </c>
      <c r="M58" s="94"/>
      <c r="N58" s="94"/>
      <c r="O58" s="167">
        <v>4.58</v>
      </c>
      <c r="P58" s="68">
        <v>5.5</v>
      </c>
      <c r="Q58" s="286">
        <f>L58*O58</f>
        <v>224.42000000000002</v>
      </c>
      <c r="R58" s="70">
        <f>P58*50</f>
        <v>275</v>
      </c>
      <c r="S58" s="71">
        <v>224.42</v>
      </c>
      <c r="T58" s="72">
        <v>275</v>
      </c>
      <c r="U58" s="73"/>
      <c r="V58" s="74"/>
      <c r="W58" s="75"/>
      <c r="X58" s="76"/>
    </row>
    <row r="59" spans="1:26" ht="28.8" x14ac:dyDescent="0.3">
      <c r="A59" s="280" t="s">
        <v>433</v>
      </c>
      <c r="B59" s="281" t="s">
        <v>431</v>
      </c>
      <c r="C59" s="282" t="s">
        <v>432</v>
      </c>
      <c r="D59" s="281" t="s">
        <v>440</v>
      </c>
      <c r="E59" s="283" t="s">
        <v>434</v>
      </c>
      <c r="F59" s="284" t="s">
        <v>441</v>
      </c>
      <c r="G59" s="283" t="s">
        <v>41</v>
      </c>
      <c r="H59" s="285"/>
      <c r="I59" s="285"/>
      <c r="J59" s="285">
        <v>13.5</v>
      </c>
      <c r="K59" s="285" t="s">
        <v>614</v>
      </c>
      <c r="L59" s="285">
        <v>10</v>
      </c>
      <c r="M59" s="285"/>
      <c r="N59" s="285"/>
      <c r="O59" s="167">
        <v>3.75</v>
      </c>
      <c r="P59" s="68">
        <v>4.5</v>
      </c>
      <c r="Q59" s="69">
        <f>L59*O59</f>
        <v>37.5</v>
      </c>
      <c r="R59" s="70">
        <f>P59*L59</f>
        <v>45</v>
      </c>
      <c r="S59" s="71">
        <v>37.5</v>
      </c>
      <c r="T59" s="72">
        <v>45</v>
      </c>
      <c r="U59" s="73"/>
      <c r="V59" s="74"/>
      <c r="W59" s="75"/>
      <c r="X59" s="76"/>
    </row>
    <row r="60" spans="1:26" ht="28.8" x14ac:dyDescent="0.3">
      <c r="A60" s="287" t="s">
        <v>282</v>
      </c>
      <c r="B60" s="288"/>
      <c r="C60" s="289"/>
      <c r="D60" s="288"/>
      <c r="E60" s="288"/>
      <c r="F60" s="290" t="s">
        <v>285</v>
      </c>
      <c r="G60" s="291" t="s">
        <v>192</v>
      </c>
      <c r="H60" s="288"/>
      <c r="I60" s="288"/>
      <c r="J60" s="288"/>
      <c r="K60" s="288"/>
      <c r="L60" s="288"/>
      <c r="M60" s="288"/>
      <c r="N60" s="291" t="s">
        <v>579</v>
      </c>
      <c r="O60" s="202"/>
      <c r="P60" s="202">
        <v>4.5</v>
      </c>
      <c r="Q60" s="202"/>
      <c r="R60" s="202"/>
      <c r="S60" s="202"/>
      <c r="T60" s="202"/>
      <c r="U60" s="202"/>
      <c r="V60" s="202"/>
      <c r="W60" s="202"/>
      <c r="X60" s="204"/>
      <c r="Y60" s="4" t="s">
        <v>615</v>
      </c>
      <c r="Z60" s="4"/>
    </row>
    <row r="61" spans="1:26" x14ac:dyDescent="0.3">
      <c r="A61" s="93" t="s">
        <v>573</v>
      </c>
      <c r="B61" s="94"/>
      <c r="C61" s="98"/>
      <c r="D61" s="94"/>
      <c r="E61" s="94"/>
      <c r="F61" s="212" t="s">
        <v>574</v>
      </c>
      <c r="G61" s="292" t="s">
        <v>575</v>
      </c>
      <c r="H61" s="94"/>
      <c r="I61" s="94"/>
      <c r="J61" s="94"/>
      <c r="K61" s="94"/>
      <c r="L61" s="94">
        <v>36</v>
      </c>
      <c r="M61" s="94"/>
      <c r="N61" s="94"/>
      <c r="O61" s="167">
        <v>4.58</v>
      </c>
      <c r="P61" s="68">
        <v>5.5</v>
      </c>
      <c r="Q61" s="69">
        <f>L61*O61</f>
        <v>164.88</v>
      </c>
      <c r="R61" s="70">
        <f>L61*P61</f>
        <v>198</v>
      </c>
      <c r="S61" s="71">
        <v>164.88</v>
      </c>
      <c r="T61" s="72">
        <v>198</v>
      </c>
      <c r="U61" s="73"/>
      <c r="V61" s="74"/>
      <c r="W61" s="75"/>
      <c r="X61" s="76"/>
      <c r="Y61" s="264"/>
      <c r="Z61" s="264"/>
    </row>
    <row r="62" spans="1:26" x14ac:dyDescent="0.3">
      <c r="A62" s="287" t="s">
        <v>282</v>
      </c>
      <c r="B62" s="288"/>
      <c r="C62" s="289"/>
      <c r="D62" s="288"/>
      <c r="E62" s="288"/>
      <c r="F62" s="290" t="s">
        <v>294</v>
      </c>
      <c r="G62" s="291" t="s">
        <v>108</v>
      </c>
      <c r="H62" s="288"/>
      <c r="I62" s="288"/>
      <c r="J62" s="288"/>
      <c r="K62" s="288"/>
      <c r="L62" s="288"/>
      <c r="M62" s="288"/>
      <c r="N62" s="288"/>
      <c r="O62" s="293"/>
      <c r="P62" s="293">
        <v>4.5</v>
      </c>
      <c r="Q62" s="293"/>
      <c r="R62" s="293"/>
      <c r="S62" s="293"/>
      <c r="T62" s="293"/>
      <c r="U62" s="294"/>
      <c r="V62" s="294"/>
      <c r="W62" s="293"/>
      <c r="X62" s="295"/>
      <c r="Y62" s="4" t="s">
        <v>617</v>
      </c>
      <c r="Z62" s="4"/>
    </row>
    <row r="63" spans="1:26" x14ac:dyDescent="0.3">
      <c r="A63" s="93" t="s">
        <v>531</v>
      </c>
      <c r="B63" s="94"/>
      <c r="C63" s="94" t="s">
        <v>532</v>
      </c>
      <c r="D63" s="427" t="s">
        <v>517</v>
      </c>
      <c r="E63" s="94"/>
      <c r="F63" s="212" t="s">
        <v>530</v>
      </c>
      <c r="G63" s="300" t="s">
        <v>516</v>
      </c>
      <c r="H63" s="94"/>
      <c r="I63" s="94"/>
      <c r="J63" s="94"/>
      <c r="K63" s="94"/>
      <c r="L63" s="94">
        <v>14</v>
      </c>
      <c r="M63" s="94"/>
      <c r="N63" s="94"/>
      <c r="O63" s="167">
        <v>3.75</v>
      </c>
      <c r="P63" s="68">
        <v>4.5</v>
      </c>
      <c r="Q63" s="69">
        <f t="shared" ref="Q63:Q68" si="6">L63*O63</f>
        <v>52.5</v>
      </c>
      <c r="R63" s="70">
        <f t="shared" ref="R63:R69" si="7">L63*P63</f>
        <v>63</v>
      </c>
      <c r="S63" s="71">
        <v>52.5</v>
      </c>
      <c r="T63" s="72">
        <v>63</v>
      </c>
      <c r="U63" s="73"/>
      <c r="V63" s="74"/>
      <c r="W63" s="75"/>
      <c r="X63" s="76"/>
      <c r="Y63" s="4"/>
      <c r="Z63" s="4"/>
    </row>
    <row r="64" spans="1:26" x14ac:dyDescent="0.3">
      <c r="A64" s="93" t="s">
        <v>622</v>
      </c>
      <c r="B64" s="94"/>
      <c r="C64" s="345" t="s">
        <v>626</v>
      </c>
      <c r="D64" s="352" t="s">
        <v>625</v>
      </c>
      <c r="E64" s="94"/>
      <c r="F64" s="212" t="s">
        <v>621</v>
      </c>
      <c r="G64" s="300" t="s">
        <v>620</v>
      </c>
      <c r="H64" s="94"/>
      <c r="I64" s="94"/>
      <c r="J64" s="94"/>
      <c r="K64" s="94"/>
      <c r="L64" s="94">
        <v>11</v>
      </c>
      <c r="M64" s="94"/>
      <c r="N64" s="94"/>
      <c r="O64" s="167">
        <v>7.5</v>
      </c>
      <c r="P64" s="68">
        <v>9</v>
      </c>
      <c r="Q64" s="69">
        <f t="shared" si="6"/>
        <v>82.5</v>
      </c>
      <c r="R64" s="70">
        <f>L64*P64</f>
        <v>99</v>
      </c>
      <c r="S64" s="71">
        <f>Q64-U64</f>
        <v>30.25</v>
      </c>
      <c r="T64" s="72">
        <f>R64-U64</f>
        <v>46.75</v>
      </c>
      <c r="U64" s="77">
        <f>V64</f>
        <v>52.25</v>
      </c>
      <c r="V64" s="78">
        <f>W64+X64</f>
        <v>52.25</v>
      </c>
      <c r="W64" s="79">
        <f>2.25*L64</f>
        <v>24.75</v>
      </c>
      <c r="X64" s="170">
        <f>2.5*L64</f>
        <v>27.5</v>
      </c>
      <c r="Y64" s="299"/>
      <c r="Z64" s="299"/>
    </row>
    <row r="65" spans="1:26" ht="28.8" x14ac:dyDescent="0.3">
      <c r="A65" s="222" t="s">
        <v>590</v>
      </c>
      <c r="B65" s="94" t="s">
        <v>340</v>
      </c>
      <c r="C65" s="94" t="s">
        <v>341</v>
      </c>
      <c r="D65" s="259" t="s">
        <v>339</v>
      </c>
      <c r="E65" s="94"/>
      <c r="F65" s="212" t="s">
        <v>588</v>
      </c>
      <c r="G65" s="303" t="s">
        <v>587</v>
      </c>
      <c r="H65" s="94"/>
      <c r="I65" s="94"/>
      <c r="J65" s="94">
        <v>204</v>
      </c>
      <c r="K65" s="94"/>
      <c r="L65" s="94">
        <v>44</v>
      </c>
      <c r="M65" s="94"/>
      <c r="N65" s="94"/>
      <c r="O65" s="167">
        <v>14.17</v>
      </c>
      <c r="P65" s="68">
        <v>17</v>
      </c>
      <c r="Q65" s="69">
        <f t="shared" si="6"/>
        <v>623.48</v>
      </c>
      <c r="R65" s="70">
        <f>L65*P65</f>
        <v>748</v>
      </c>
      <c r="S65" s="71">
        <f>Q65-U65</f>
        <v>271.48</v>
      </c>
      <c r="T65" s="72">
        <f>R65-V65</f>
        <v>396</v>
      </c>
      <c r="U65" s="316">
        <f>8*L65</f>
        <v>352</v>
      </c>
      <c r="V65" s="317">
        <f>8*L65</f>
        <v>352</v>
      </c>
      <c r="W65" s="75"/>
      <c r="X65" s="76"/>
      <c r="Y65" s="270"/>
      <c r="Z65" s="270"/>
    </row>
    <row r="66" spans="1:26" x14ac:dyDescent="0.3">
      <c r="A66" s="93" t="s">
        <v>527</v>
      </c>
      <c r="B66" s="305" t="s">
        <v>468</v>
      </c>
      <c r="C66" s="354" t="s">
        <v>469</v>
      </c>
      <c r="D66" s="175" t="s">
        <v>470</v>
      </c>
      <c r="E66" s="94"/>
      <c r="F66" s="212" t="s">
        <v>528</v>
      </c>
      <c r="G66" s="304" t="s">
        <v>529</v>
      </c>
      <c r="H66" s="94"/>
      <c r="I66" s="94"/>
      <c r="J66" s="94"/>
      <c r="K66" s="94"/>
      <c r="L66" s="94">
        <v>48</v>
      </c>
      <c r="M66" s="94"/>
      <c r="N66" s="94"/>
      <c r="O66" s="167">
        <v>10</v>
      </c>
      <c r="P66" s="68">
        <v>12</v>
      </c>
      <c r="Q66" s="69">
        <f t="shared" si="6"/>
        <v>480</v>
      </c>
      <c r="R66" s="70">
        <f>L66*P66</f>
        <v>576</v>
      </c>
      <c r="S66" s="319">
        <f>Q66-U66</f>
        <v>372</v>
      </c>
      <c r="T66" s="318">
        <f>R66-V66</f>
        <v>468</v>
      </c>
      <c r="U66" s="316">
        <v>108</v>
      </c>
      <c r="V66" s="317">
        <v>108</v>
      </c>
      <c r="W66" s="79">
        <f>2.25*L66</f>
        <v>108</v>
      </c>
      <c r="X66" s="76"/>
      <c r="Y66" s="4"/>
      <c r="Z66" s="4"/>
    </row>
    <row r="67" spans="1:26" ht="28.8" x14ac:dyDescent="0.3">
      <c r="A67" s="93" t="s">
        <v>607</v>
      </c>
      <c r="B67" s="305"/>
      <c r="C67" s="354" t="s">
        <v>606</v>
      </c>
      <c r="D67" s="353" t="s">
        <v>623</v>
      </c>
      <c r="E67" s="94"/>
      <c r="F67" s="212" t="s">
        <v>604</v>
      </c>
      <c r="G67" s="304" t="s">
        <v>605</v>
      </c>
      <c r="H67" s="94"/>
      <c r="I67" s="94"/>
      <c r="J67" s="94"/>
      <c r="K67" s="94"/>
      <c r="L67" s="94">
        <v>18</v>
      </c>
      <c r="M67" s="94"/>
      <c r="N67" s="94"/>
      <c r="O67" s="167">
        <v>1.67</v>
      </c>
      <c r="P67" s="68">
        <v>2</v>
      </c>
      <c r="Q67" s="69">
        <f t="shared" si="6"/>
        <v>30.06</v>
      </c>
      <c r="R67" s="70">
        <f t="shared" si="7"/>
        <v>36</v>
      </c>
      <c r="S67" s="71">
        <f>Q67</f>
        <v>30.06</v>
      </c>
      <c r="T67" s="72">
        <f>R67</f>
        <v>36</v>
      </c>
      <c r="U67" s="73"/>
      <c r="V67" s="74"/>
      <c r="W67" s="75"/>
      <c r="X67" s="76"/>
      <c r="Y67" s="271"/>
      <c r="Z67" s="271"/>
    </row>
    <row r="68" spans="1:26" x14ac:dyDescent="0.3">
      <c r="A68" s="93" t="s">
        <v>611</v>
      </c>
      <c r="B68" s="307" t="s">
        <v>613</v>
      </c>
      <c r="C68" s="308" t="s">
        <v>612</v>
      </c>
      <c r="D68" s="309" t="s">
        <v>608</v>
      </c>
      <c r="E68" s="310"/>
      <c r="F68" s="311" t="s">
        <v>609</v>
      </c>
      <c r="G68" s="312" t="s">
        <v>610</v>
      </c>
      <c r="H68" s="310"/>
      <c r="I68" s="310"/>
      <c r="J68" s="310">
        <v>20.25</v>
      </c>
      <c r="K68" s="310" t="s">
        <v>652</v>
      </c>
      <c r="L68" s="94">
        <v>14</v>
      </c>
      <c r="M68" s="310"/>
      <c r="N68" s="310"/>
      <c r="O68" s="167">
        <v>3.75</v>
      </c>
      <c r="P68" s="68">
        <v>4.5</v>
      </c>
      <c r="Q68" s="69">
        <f t="shared" si="6"/>
        <v>52.5</v>
      </c>
      <c r="R68" s="70">
        <f t="shared" si="7"/>
        <v>63</v>
      </c>
      <c r="S68" s="71">
        <f>Q68</f>
        <v>52.5</v>
      </c>
      <c r="T68" s="72">
        <f>R68</f>
        <v>63</v>
      </c>
      <c r="U68" s="73"/>
      <c r="V68" s="74"/>
      <c r="W68" s="75"/>
      <c r="X68" s="76"/>
      <c r="Y68" s="278"/>
      <c r="Z68" s="278"/>
    </row>
    <row r="69" spans="1:26" x14ac:dyDescent="0.3">
      <c r="A69" s="93" t="s">
        <v>589</v>
      </c>
      <c r="B69" s="305" t="s">
        <v>340</v>
      </c>
      <c r="C69" s="306" t="s">
        <v>341</v>
      </c>
      <c r="D69" s="263" t="s">
        <v>339</v>
      </c>
      <c r="E69" s="94"/>
      <c r="F69" s="212" t="s">
        <v>586</v>
      </c>
      <c r="G69" s="313" t="s">
        <v>587</v>
      </c>
      <c r="H69" s="94"/>
      <c r="I69" s="94"/>
      <c r="J69" s="94"/>
      <c r="K69" s="94"/>
      <c r="L69" s="94">
        <v>34</v>
      </c>
      <c r="M69" s="94"/>
      <c r="N69" s="94"/>
      <c r="O69" s="167">
        <v>14.17</v>
      </c>
      <c r="P69" s="68">
        <v>17</v>
      </c>
      <c r="Q69" s="320">
        <v>481.67</v>
      </c>
      <c r="R69" s="321">
        <f t="shared" si="7"/>
        <v>578</v>
      </c>
      <c r="S69" s="319">
        <f>Q69-U69</f>
        <v>209.67000000000002</v>
      </c>
      <c r="T69" s="318">
        <f>R69-V69</f>
        <v>306</v>
      </c>
      <c r="U69" s="316">
        <v>272</v>
      </c>
      <c r="V69" s="317">
        <f>8*L69</f>
        <v>272</v>
      </c>
      <c r="W69" s="75"/>
      <c r="X69" s="76"/>
      <c r="Y69" s="270"/>
      <c r="Z69" s="270"/>
    </row>
    <row r="70" spans="1:26" x14ac:dyDescent="0.3">
      <c r="A70" s="187" t="s">
        <v>282</v>
      </c>
      <c r="B70" s="187"/>
      <c r="C70" s="187"/>
      <c r="D70" s="187"/>
      <c r="E70" s="187"/>
      <c r="F70" s="200" t="s">
        <v>286</v>
      </c>
      <c r="G70" s="195" t="s">
        <v>192</v>
      </c>
      <c r="H70" s="187"/>
      <c r="I70" s="187"/>
      <c r="J70" s="187"/>
      <c r="K70" s="187"/>
      <c r="L70" s="187"/>
      <c r="M70" s="187"/>
      <c r="N70" s="187"/>
      <c r="O70" s="202">
        <v>3.75</v>
      </c>
      <c r="P70" s="202">
        <v>4.5</v>
      </c>
      <c r="Q70" s="202"/>
      <c r="R70" s="202"/>
      <c r="S70" s="202"/>
      <c r="T70" s="202"/>
      <c r="U70" s="202"/>
      <c r="V70" s="202"/>
      <c r="W70" s="202"/>
      <c r="X70" s="202"/>
      <c r="Y70" s="4"/>
      <c r="Z70" s="4"/>
    </row>
    <row r="71" spans="1:26" s="323" customFormat="1" x14ac:dyDescent="0.3">
      <c r="A71" s="288" t="s">
        <v>282</v>
      </c>
      <c r="B71" s="288"/>
      <c r="C71" s="288"/>
      <c r="D71" s="288"/>
      <c r="E71" s="288"/>
      <c r="F71" s="290" t="s">
        <v>295</v>
      </c>
      <c r="G71" s="291" t="s">
        <v>108</v>
      </c>
      <c r="H71" s="288"/>
      <c r="I71" s="288"/>
      <c r="J71" s="288"/>
      <c r="K71" s="288"/>
      <c r="L71" s="288"/>
      <c r="M71" s="288"/>
      <c r="N71" s="288"/>
      <c r="O71" s="293">
        <v>3.75</v>
      </c>
      <c r="P71" s="293">
        <v>4.5</v>
      </c>
      <c r="Q71" s="293"/>
      <c r="R71" s="293"/>
      <c r="S71" s="293"/>
      <c r="T71" s="293"/>
      <c r="U71" s="294"/>
      <c r="V71" s="294"/>
      <c r="W71" s="293"/>
      <c r="X71" s="294"/>
      <c r="Y71" s="322"/>
      <c r="Z71" s="322"/>
    </row>
    <row r="72" spans="1:26" x14ac:dyDescent="0.3">
      <c r="A72" s="94" t="s">
        <v>195</v>
      </c>
      <c r="B72" s="325" t="s">
        <v>519</v>
      </c>
      <c r="C72" s="301"/>
      <c r="D72" s="263" t="s">
        <v>197</v>
      </c>
      <c r="E72" s="94"/>
      <c r="F72" s="244" t="s">
        <v>533</v>
      </c>
      <c r="G72" s="94" t="s">
        <v>518</v>
      </c>
      <c r="H72" s="94"/>
      <c r="I72" s="94"/>
      <c r="J72" s="94">
        <v>54</v>
      </c>
      <c r="K72" s="94"/>
      <c r="L72" s="94">
        <v>42</v>
      </c>
      <c r="M72" s="94"/>
      <c r="N72" s="94"/>
      <c r="O72" s="167">
        <v>3.75</v>
      </c>
      <c r="P72" s="68">
        <v>4.5</v>
      </c>
      <c r="Q72" s="69">
        <f>L72*O72</f>
        <v>157.5</v>
      </c>
      <c r="R72" s="70">
        <f>L72*P72</f>
        <v>189</v>
      </c>
      <c r="S72" s="71">
        <f>Q72</f>
        <v>157.5</v>
      </c>
      <c r="T72" s="72">
        <f>R72</f>
        <v>189</v>
      </c>
      <c r="U72" s="73"/>
      <c r="V72" s="74"/>
      <c r="W72" s="75"/>
      <c r="X72" s="349"/>
      <c r="Y72" s="4"/>
      <c r="Z72" s="4"/>
    </row>
    <row r="73" spans="1:26" x14ac:dyDescent="0.3">
      <c r="A73" s="94" t="s">
        <v>539</v>
      </c>
      <c r="B73" s="325" t="s">
        <v>538</v>
      </c>
      <c r="C73" s="301"/>
      <c r="D73" s="263" t="s">
        <v>540</v>
      </c>
      <c r="E73" s="94"/>
      <c r="F73" s="244" t="s">
        <v>537</v>
      </c>
      <c r="G73" s="94" t="s">
        <v>42</v>
      </c>
      <c r="H73" s="94"/>
      <c r="I73" s="94"/>
      <c r="J73" s="94"/>
      <c r="K73" s="94"/>
      <c r="L73" s="94">
        <v>22</v>
      </c>
      <c r="M73" s="94"/>
      <c r="N73" s="94"/>
      <c r="O73" s="167">
        <v>3.75</v>
      </c>
      <c r="P73" s="68">
        <v>4.5</v>
      </c>
      <c r="Q73" s="69">
        <f>L73*O73</f>
        <v>82.5</v>
      </c>
      <c r="R73" s="70">
        <f>L73*P73</f>
        <v>99</v>
      </c>
      <c r="S73" s="326">
        <v>82.5</v>
      </c>
      <c r="T73" s="327">
        <v>99</v>
      </c>
      <c r="U73" s="73"/>
      <c r="V73" s="74"/>
      <c r="W73" s="75"/>
      <c r="X73" s="349"/>
      <c r="Y73" s="4"/>
      <c r="Z73" s="4"/>
    </row>
    <row r="74" spans="1:26" s="329" customFormat="1" x14ac:dyDescent="0.3">
      <c r="A74" s="94"/>
      <c r="B74" s="325" t="s">
        <v>639</v>
      </c>
      <c r="C74" s="94" t="s">
        <v>630</v>
      </c>
      <c r="D74" s="259" t="s">
        <v>640</v>
      </c>
      <c r="E74" s="94"/>
      <c r="F74" s="244" t="s">
        <v>641</v>
      </c>
      <c r="G74" s="94" t="s">
        <v>42</v>
      </c>
      <c r="H74" s="94"/>
      <c r="I74" s="94"/>
      <c r="J74" s="94">
        <v>20.25</v>
      </c>
      <c r="K74" s="94" t="s">
        <v>704</v>
      </c>
      <c r="L74" s="94">
        <v>14</v>
      </c>
      <c r="M74" s="94"/>
      <c r="N74" s="94"/>
      <c r="O74" s="167">
        <v>3.75</v>
      </c>
      <c r="P74" s="68">
        <v>4.5</v>
      </c>
      <c r="Q74" s="69">
        <f>L74*O74</f>
        <v>52.5</v>
      </c>
      <c r="R74" s="70">
        <f>L74*P74</f>
        <v>63</v>
      </c>
      <c r="S74" s="71">
        <f>Q74</f>
        <v>52.5</v>
      </c>
      <c r="T74" s="72">
        <f>R74</f>
        <v>63</v>
      </c>
      <c r="U74" s="73"/>
      <c r="V74" s="74"/>
      <c r="W74" s="75"/>
      <c r="X74" s="349"/>
      <c r="Y74" s="328"/>
      <c r="Z74" s="328"/>
    </row>
    <row r="75" spans="1:26" x14ac:dyDescent="0.3">
      <c r="A75" s="187" t="s">
        <v>282</v>
      </c>
      <c r="B75" s="187"/>
      <c r="C75" s="187"/>
      <c r="D75" s="187"/>
      <c r="E75" s="187"/>
      <c r="F75" s="200" t="s">
        <v>287</v>
      </c>
      <c r="G75" s="195" t="s">
        <v>192</v>
      </c>
      <c r="H75" s="187"/>
      <c r="I75" s="187"/>
      <c r="J75" s="187"/>
      <c r="K75" s="187"/>
      <c r="L75" s="187" t="s">
        <v>638</v>
      </c>
      <c r="M75" s="187"/>
      <c r="N75" s="187"/>
      <c r="O75" s="202">
        <v>3.75</v>
      </c>
      <c r="P75" s="202">
        <v>4.5</v>
      </c>
      <c r="Q75" s="202"/>
      <c r="R75" s="202"/>
      <c r="S75" s="202"/>
      <c r="T75" s="202"/>
      <c r="U75" s="202"/>
      <c r="V75" s="202"/>
      <c r="W75" s="203"/>
      <c r="X75" s="202"/>
      <c r="Y75" s="4"/>
      <c r="Z75" s="4"/>
    </row>
    <row r="76" spans="1:26" x14ac:dyDescent="0.3">
      <c r="A76" s="187" t="s">
        <v>282</v>
      </c>
      <c r="B76" s="187"/>
      <c r="C76" s="187"/>
      <c r="D76" s="187"/>
      <c r="E76" s="187"/>
      <c r="F76" s="422" t="s">
        <v>296</v>
      </c>
      <c r="G76" s="187" t="s">
        <v>108</v>
      </c>
      <c r="H76" s="187"/>
      <c r="I76" s="187"/>
      <c r="J76" s="187"/>
      <c r="K76" s="187"/>
      <c r="L76" s="187" t="s">
        <v>638</v>
      </c>
      <c r="M76" s="187"/>
      <c r="N76" s="187"/>
      <c r="O76" s="202">
        <v>3.75</v>
      </c>
      <c r="P76" s="202">
        <v>4.5</v>
      </c>
      <c r="Q76" s="202"/>
      <c r="R76" s="202"/>
      <c r="S76" s="202"/>
      <c r="T76" s="202"/>
      <c r="U76" s="203"/>
      <c r="V76" s="203"/>
      <c r="W76" s="203"/>
      <c r="X76" s="203"/>
      <c r="Y76" s="4"/>
      <c r="Z76" s="4"/>
    </row>
    <row r="77" spans="1:26" x14ac:dyDescent="0.3">
      <c r="A77" s="94" t="s">
        <v>596</v>
      </c>
      <c r="B77" s="325" t="s">
        <v>597</v>
      </c>
      <c r="C77" s="428" t="s">
        <v>598</v>
      </c>
      <c r="D77" s="263" t="s">
        <v>562</v>
      </c>
      <c r="E77" s="94"/>
      <c r="F77" s="244" t="s">
        <v>599</v>
      </c>
      <c r="G77" s="94" t="s">
        <v>108</v>
      </c>
      <c r="H77" s="94"/>
      <c r="I77" s="94"/>
      <c r="J77" s="94"/>
      <c r="K77" s="94"/>
      <c r="L77" s="94">
        <v>14</v>
      </c>
      <c r="M77" s="94"/>
      <c r="N77" s="94"/>
      <c r="O77" s="167">
        <v>3.75</v>
      </c>
      <c r="P77" s="68">
        <v>4.5</v>
      </c>
      <c r="Q77" s="320">
        <f>L77*O77</f>
        <v>52.5</v>
      </c>
      <c r="R77" s="321">
        <f>L77*P77</f>
        <v>63</v>
      </c>
      <c r="S77" s="319">
        <f>Q77</f>
        <v>52.5</v>
      </c>
      <c r="T77" s="318">
        <f>R77</f>
        <v>63</v>
      </c>
      <c r="U77" s="73"/>
      <c r="V77" s="74"/>
      <c r="W77" s="75"/>
      <c r="X77" s="349"/>
      <c r="Y77" s="4"/>
      <c r="Z77" s="4"/>
    </row>
    <row r="78" spans="1:26" x14ac:dyDescent="0.3">
      <c r="A78" s="347" t="s">
        <v>583</v>
      </c>
      <c r="B78" s="347" t="s">
        <v>580</v>
      </c>
      <c r="C78" s="347" t="s">
        <v>581</v>
      </c>
      <c r="D78" s="279" t="s">
        <v>582</v>
      </c>
      <c r="E78" s="347"/>
      <c r="F78" s="218" t="s">
        <v>600</v>
      </c>
      <c r="G78" s="347" t="s">
        <v>595</v>
      </c>
      <c r="H78" s="347"/>
      <c r="I78" s="347"/>
      <c r="J78" s="347"/>
      <c r="K78" s="347"/>
      <c r="L78" s="347">
        <v>20</v>
      </c>
      <c r="M78" s="347"/>
      <c r="N78" s="347"/>
      <c r="O78" s="167">
        <v>35.83</v>
      </c>
      <c r="P78" s="68">
        <v>43</v>
      </c>
      <c r="Q78" s="320">
        <v>716.67</v>
      </c>
      <c r="R78" s="321">
        <f>L78*P78</f>
        <v>860</v>
      </c>
      <c r="S78" s="319">
        <v>262.5</v>
      </c>
      <c r="T78" s="318">
        <f>R78-V78</f>
        <v>315</v>
      </c>
      <c r="U78" s="316">
        <v>454.17</v>
      </c>
      <c r="V78" s="317">
        <f>W78+(25*L78)</f>
        <v>545</v>
      </c>
      <c r="W78" s="350">
        <f>2.25*L78</f>
        <v>45</v>
      </c>
      <c r="X78" s="349"/>
      <c r="Y78" s="4"/>
      <c r="Z78" s="4"/>
    </row>
    <row r="79" spans="1:26" x14ac:dyDescent="0.3">
      <c r="A79" s="346" t="s">
        <v>658</v>
      </c>
      <c r="B79" s="338" t="s">
        <v>656</v>
      </c>
      <c r="C79" s="357" t="s">
        <v>657</v>
      </c>
      <c r="D79" s="339"/>
      <c r="E79" s="346"/>
      <c r="F79" s="426" t="s">
        <v>727</v>
      </c>
      <c r="G79" s="346" t="s">
        <v>728</v>
      </c>
      <c r="H79" s="346"/>
      <c r="I79" s="346">
        <v>56</v>
      </c>
      <c r="J79" s="359"/>
      <c r="K79" s="359"/>
      <c r="L79" s="359">
        <v>60</v>
      </c>
      <c r="M79" s="359"/>
      <c r="N79" s="359"/>
      <c r="O79" s="167">
        <v>9.17</v>
      </c>
      <c r="P79" s="68">
        <v>11</v>
      </c>
      <c r="Q79" s="320">
        <f>I79*O79</f>
        <v>513.52</v>
      </c>
      <c r="R79" s="321">
        <f>I79*P79</f>
        <v>616</v>
      </c>
      <c r="S79" s="319"/>
      <c r="T79" s="318"/>
      <c r="U79" s="316"/>
      <c r="V79" s="317"/>
      <c r="W79" s="350"/>
      <c r="X79" s="349"/>
      <c r="Y79" s="425"/>
      <c r="Z79" s="425"/>
    </row>
    <row r="80" spans="1:26" x14ac:dyDescent="0.3">
      <c r="A80" s="359"/>
      <c r="B80" s="359" t="s">
        <v>723</v>
      </c>
      <c r="C80" s="359"/>
      <c r="D80" s="298" t="s">
        <v>724</v>
      </c>
      <c r="E80" s="359"/>
      <c r="F80" s="218" t="s">
        <v>725</v>
      </c>
      <c r="G80" s="359" t="s">
        <v>192</v>
      </c>
      <c r="H80" s="359"/>
      <c r="I80" s="359"/>
      <c r="J80" s="359"/>
      <c r="K80" s="359"/>
      <c r="L80" s="359">
        <v>8</v>
      </c>
      <c r="M80" s="359"/>
      <c r="N80" s="359"/>
      <c r="O80" s="167">
        <v>3.75</v>
      </c>
      <c r="P80" s="68">
        <v>4.5</v>
      </c>
      <c r="Q80" s="320">
        <f>L80*O80</f>
        <v>30</v>
      </c>
      <c r="R80" s="321">
        <f>L80*P80</f>
        <v>36</v>
      </c>
      <c r="S80" s="319">
        <f>Q80-U80</f>
        <v>10</v>
      </c>
      <c r="T80" s="318">
        <f>R80-V80</f>
        <v>16</v>
      </c>
      <c r="U80" s="316">
        <v>20</v>
      </c>
      <c r="V80" s="317">
        <v>20</v>
      </c>
      <c r="W80" s="75"/>
      <c r="X80" s="424">
        <f>2.5*L80</f>
        <v>20</v>
      </c>
      <c r="Y80" s="423"/>
      <c r="Z80" s="423"/>
    </row>
    <row r="81" spans="1:26" x14ac:dyDescent="0.3">
      <c r="A81" s="347" t="s">
        <v>659</v>
      </c>
      <c r="B81" s="347" t="s">
        <v>661</v>
      </c>
      <c r="C81" s="347" t="s">
        <v>618</v>
      </c>
      <c r="D81" s="279" t="s">
        <v>619</v>
      </c>
      <c r="E81" s="347"/>
      <c r="F81" s="218" t="s">
        <v>660</v>
      </c>
      <c r="G81" s="347" t="s">
        <v>234</v>
      </c>
      <c r="H81" s="347"/>
      <c r="I81" s="347"/>
      <c r="J81" s="347"/>
      <c r="K81" s="347"/>
      <c r="L81" s="347">
        <v>20</v>
      </c>
      <c r="M81" s="347"/>
      <c r="N81" s="347"/>
      <c r="O81" s="167">
        <v>31.67</v>
      </c>
      <c r="P81" s="68">
        <v>38</v>
      </c>
      <c r="Q81" s="320">
        <f>L81*O81</f>
        <v>633.40000000000009</v>
      </c>
      <c r="R81" s="321">
        <f>L81*P81</f>
        <v>760</v>
      </c>
      <c r="S81" s="319"/>
      <c r="T81" s="318"/>
      <c r="U81" s="77"/>
      <c r="V81" s="78"/>
      <c r="W81" s="75"/>
      <c r="X81" s="349"/>
      <c r="Y81" s="344"/>
      <c r="Z81" s="344"/>
    </row>
    <row r="82" spans="1:26" ht="15" thickBot="1" x14ac:dyDescent="0.35">
      <c r="A82" s="162"/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4">
        <f>SUM(L8:L81)</f>
        <v>1473</v>
      </c>
      <c r="M82" s="163"/>
      <c r="N82" s="215"/>
      <c r="O82" s="216"/>
      <c r="P82" s="217"/>
      <c r="Q82" s="165">
        <f t="shared" ref="Q82:W82" si="8">SUM(Q8:Q81)</f>
        <v>16424.54</v>
      </c>
      <c r="R82" s="165">
        <f t="shared" si="8"/>
        <v>19718</v>
      </c>
      <c r="S82" s="165">
        <f t="shared" si="8"/>
        <v>5147.2500000000009</v>
      </c>
      <c r="T82" s="165">
        <f t="shared" si="8"/>
        <v>7408.95</v>
      </c>
      <c r="U82" s="165">
        <f t="shared" si="8"/>
        <v>10149.959999999999</v>
      </c>
      <c r="V82" s="165">
        <f t="shared" si="8"/>
        <v>10933.05</v>
      </c>
      <c r="W82" s="165">
        <f t="shared" si="8"/>
        <v>576.5</v>
      </c>
      <c r="X82" s="219">
        <f t="shared" ref="X82" si="9">SUM(X8:X78)</f>
        <v>75</v>
      </c>
      <c r="Y82" s="4"/>
      <c r="Z82" s="4"/>
    </row>
    <row r="83" spans="1:26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172">
        <v>83.25</v>
      </c>
      <c r="X83" s="4"/>
      <c r="Y83" s="4"/>
      <c r="Z83" s="4"/>
    </row>
    <row r="84" spans="1:26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120"/>
      <c r="S84" s="4"/>
      <c r="T84" s="4"/>
      <c r="U84" s="4"/>
      <c r="V84" s="4"/>
      <c r="W84" s="4"/>
      <c r="X84" s="4"/>
      <c r="Y84" s="4"/>
      <c r="Z84" s="4"/>
    </row>
    <row r="85" spans="1:26" x14ac:dyDescent="0.3">
      <c r="A85" s="4"/>
      <c r="B85" s="4"/>
      <c r="C85" s="4"/>
      <c r="D85" s="4"/>
      <c r="E85" s="4"/>
      <c r="F85" s="4"/>
      <c r="G85" s="4"/>
      <c r="H85" s="36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120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120"/>
      <c r="T88" s="120"/>
      <c r="U88" s="4"/>
      <c r="V88" s="4"/>
      <c r="W88" s="4"/>
      <c r="X88" s="4"/>
      <c r="Y88" s="4"/>
      <c r="Z88" s="4"/>
    </row>
    <row r="89" spans="1:26" x14ac:dyDescent="0.3">
      <c r="A89" s="56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120"/>
      <c r="T89" s="120"/>
      <c r="U89" s="4"/>
      <c r="V89" s="4"/>
      <c r="W89" s="4"/>
      <c r="X89" s="4"/>
      <c r="Y89" s="4"/>
      <c r="Z89" s="4"/>
    </row>
    <row r="90" spans="1:26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120"/>
      <c r="S90" s="4"/>
      <c r="T90" s="120"/>
      <c r="U90" s="4"/>
      <c r="V90" s="4"/>
      <c r="W90" s="4"/>
      <c r="X90" s="4"/>
      <c r="Y90" s="4"/>
      <c r="Z90" s="4"/>
    </row>
    <row r="91" spans="1:26" x14ac:dyDescent="0.3">
      <c r="A91" s="115"/>
      <c r="B91" s="115"/>
      <c r="C91" s="115"/>
      <c r="D91" s="115"/>
      <c r="E91" s="115"/>
      <c r="F91" s="115"/>
      <c r="G91" s="115"/>
      <c r="H91" s="4"/>
      <c r="I91" s="116"/>
      <c r="J91" s="116"/>
      <c r="K91" s="115"/>
      <c r="L91" s="115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3">
      <c r="A93" s="4"/>
      <c r="B93" s="4"/>
      <c r="C93" s="4"/>
      <c r="D93" s="4"/>
      <c r="E93" s="4"/>
      <c r="F93" s="4"/>
      <c r="G93" s="4"/>
      <c r="H93" s="4"/>
      <c r="I93" s="4"/>
      <c r="J93" s="4"/>
      <c r="K93" s="53"/>
      <c r="L93" s="54"/>
      <c r="M93" s="4"/>
      <c r="N93" s="120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53"/>
      <c r="L94" s="53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3">
      <c r="A95" s="4"/>
      <c r="B95" s="4"/>
      <c r="C95" s="36"/>
      <c r="D95" s="4"/>
      <c r="E95" s="4"/>
      <c r="F95" s="55"/>
      <c r="G95" s="4"/>
      <c r="H95" s="4"/>
      <c r="I95" s="4"/>
      <c r="J95" s="4"/>
      <c r="K95" s="53"/>
      <c r="L95" s="53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3">
      <c r="A96" s="4"/>
      <c r="B96" s="4"/>
      <c r="C96" s="4"/>
      <c r="D96" s="4"/>
      <c r="E96" s="4"/>
      <c r="F96" s="4"/>
      <c r="G96" s="4"/>
      <c r="H96" s="4"/>
      <c r="I96" s="57"/>
      <c r="J96" s="4"/>
      <c r="K96" s="53"/>
      <c r="L96" s="53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3">
      <c r="A97" s="36"/>
      <c r="B97" s="36"/>
      <c r="C97" s="4"/>
      <c r="E97" s="4"/>
      <c r="F97" s="4"/>
      <c r="G97" s="36"/>
      <c r="H97" s="4"/>
      <c r="I97" s="4"/>
      <c r="J97" s="4"/>
      <c r="K97" s="53">
        <f>34+44</f>
        <v>78</v>
      </c>
      <c r="L97" s="53"/>
      <c r="M97" s="36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3">
      <c r="A98" s="4"/>
      <c r="B98" s="4"/>
      <c r="C98" s="4"/>
      <c r="D98" s="36"/>
      <c r="E98" s="4"/>
      <c r="F98" s="4"/>
      <c r="G98" s="4"/>
      <c r="H98" s="4"/>
      <c r="I98" s="4"/>
      <c r="J98" s="4"/>
      <c r="K98" s="53"/>
      <c r="L98" s="53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3">
      <c r="A99" s="4"/>
      <c r="B99" s="4"/>
      <c r="C99" s="52"/>
      <c r="D99" s="52"/>
      <c r="E99" s="4"/>
      <c r="F99" s="4"/>
      <c r="G99" s="4"/>
      <c r="H99" s="4"/>
      <c r="I99" s="4"/>
      <c r="J99" s="4"/>
      <c r="K99" s="53"/>
      <c r="L99" s="53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3">
      <c r="A100" s="4"/>
      <c r="B100" s="4"/>
      <c r="C100" s="58"/>
      <c r="E100" s="4"/>
      <c r="F100" s="59"/>
      <c r="G100" s="4"/>
      <c r="H100" s="4"/>
      <c r="I100" s="4"/>
      <c r="J100" s="4"/>
      <c r="K100" s="53"/>
      <c r="L100" s="53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3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53"/>
      <c r="L101" s="53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4" spans="1:26" x14ac:dyDescent="0.3">
      <c r="A104" s="441"/>
      <c r="B104" s="441"/>
      <c r="C104" s="441"/>
      <c r="D104" s="441"/>
      <c r="E104" s="441"/>
      <c r="F104" s="441"/>
      <c r="G104" s="441"/>
      <c r="H104" s="4"/>
      <c r="I104" s="442"/>
      <c r="J104" s="442"/>
      <c r="K104" s="441"/>
      <c r="L104" s="441"/>
    </row>
    <row r="105" spans="1:26" x14ac:dyDescent="0.3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26" x14ac:dyDescent="0.3">
      <c r="A106" s="4"/>
      <c r="B106" s="4"/>
      <c r="C106" s="4"/>
      <c r="D106" s="52"/>
      <c r="E106" s="4"/>
      <c r="F106" s="4"/>
      <c r="G106" s="4"/>
      <c r="H106" s="4"/>
      <c r="I106" s="4"/>
      <c r="J106" s="4"/>
      <c r="K106" s="53"/>
      <c r="L106" s="54"/>
      <c r="M106" s="52"/>
    </row>
    <row r="107" spans="1:26" x14ac:dyDescent="0.3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53"/>
      <c r="L107" s="53"/>
    </row>
    <row r="108" spans="1:26" x14ac:dyDescent="0.3">
      <c r="A108" s="4"/>
      <c r="B108" s="4"/>
      <c r="C108" s="36"/>
      <c r="D108" s="4"/>
      <c r="E108" s="4"/>
      <c r="F108" s="55"/>
      <c r="G108" s="4"/>
      <c r="H108" s="4"/>
      <c r="I108" s="4"/>
      <c r="J108" s="4"/>
      <c r="K108" s="53"/>
      <c r="L108" s="53"/>
    </row>
    <row r="109" spans="1:26" x14ac:dyDescent="0.3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53"/>
      <c r="L109" s="53"/>
    </row>
    <row r="110" spans="1:26" x14ac:dyDescent="0.3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53"/>
      <c r="L110" s="53"/>
    </row>
    <row r="111" spans="1:26" x14ac:dyDescent="0.3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53"/>
      <c r="L111" s="53"/>
    </row>
    <row r="112" spans="1:26" x14ac:dyDescent="0.3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53"/>
      <c r="L112" s="53"/>
    </row>
    <row r="113" spans="1:12" x14ac:dyDescent="0.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53"/>
      <c r="L113" s="53"/>
    </row>
    <row r="114" spans="1:12" x14ac:dyDescent="0.3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53"/>
      <c r="L114" s="53"/>
    </row>
  </sheetData>
  <mergeCells count="37">
    <mergeCell ref="A104:E104"/>
    <mergeCell ref="F104:G104"/>
    <mergeCell ref="I104:J104"/>
    <mergeCell ref="K104:L104"/>
    <mergeCell ref="Y6:Z6"/>
    <mergeCell ref="Q6:R6"/>
    <mergeCell ref="A34:A35"/>
    <mergeCell ref="B34:B35"/>
    <mergeCell ref="C34:C35"/>
    <mergeCell ref="D34:D35"/>
    <mergeCell ref="F34:F35"/>
    <mergeCell ref="E34:E35"/>
    <mergeCell ref="A21:A22"/>
    <mergeCell ref="B21:B22"/>
    <mergeCell ref="C21:C22"/>
    <mergeCell ref="O6:P6"/>
    <mergeCell ref="A3:I3"/>
    <mergeCell ref="A6:E6"/>
    <mergeCell ref="H6:I6"/>
    <mergeCell ref="J6:K6"/>
    <mergeCell ref="L6:M6"/>
    <mergeCell ref="O5:X5"/>
    <mergeCell ref="A5:N5"/>
    <mergeCell ref="F6:G6"/>
    <mergeCell ref="S6:T6"/>
    <mergeCell ref="U6:V6"/>
    <mergeCell ref="V34:V35"/>
    <mergeCell ref="U34:U35"/>
    <mergeCell ref="E21:E22"/>
    <mergeCell ref="F21:F22"/>
    <mergeCell ref="N21:N22"/>
    <mergeCell ref="K21:K22"/>
    <mergeCell ref="T34:T35"/>
    <mergeCell ref="S34:S35"/>
    <mergeCell ref="Q34:Q35"/>
    <mergeCell ref="R34:R35"/>
    <mergeCell ref="K34:K35"/>
  </mergeCells>
  <phoneticPr fontId="5" type="noConversion"/>
  <hyperlinks>
    <hyperlink ref="D32" r:id="rId1" xr:uid="{B7CC81D3-46D4-4F9B-A89D-1786BA9201B5}"/>
    <hyperlink ref="D63" r:id="rId2" xr:uid="{13BB621C-4ADF-48EB-989E-326D0034F42A}"/>
  </hyperlinks>
  <pageMargins left="0.7" right="0.7" top="0.75" bottom="0.75" header="0.3" footer="0.3"/>
  <pageSetup paperSize="9" orientation="portrait"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9F7F4-DC46-4E76-BFFF-12583EF9191F}">
  <dimension ref="A3:L68"/>
  <sheetViews>
    <sheetView topLeftCell="A11" zoomScale="55" zoomScaleNormal="55" workbookViewId="0">
      <selection activeCell="C35" sqref="C35"/>
    </sheetView>
  </sheetViews>
  <sheetFormatPr baseColWidth="10" defaultRowHeight="14.4" x14ac:dyDescent="0.3"/>
  <cols>
    <col min="1" max="1" width="34.88671875" customWidth="1"/>
    <col min="2" max="2" width="24.5546875" customWidth="1"/>
    <col min="3" max="3" width="39.6640625" customWidth="1"/>
    <col min="4" max="4" width="26.88671875" customWidth="1"/>
    <col min="5" max="5" width="16" customWidth="1"/>
    <col min="6" max="8" width="17" customWidth="1"/>
    <col min="9" max="9" width="25.88671875" customWidth="1"/>
    <col min="10" max="10" width="45.6640625" customWidth="1"/>
    <col min="11" max="11" width="68.88671875" customWidth="1"/>
  </cols>
  <sheetData>
    <row r="3" spans="1:12" ht="18" x14ac:dyDescent="0.3">
      <c r="A3" s="437" t="s">
        <v>32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</row>
    <row r="4" spans="1:12" ht="15" thickBot="1" x14ac:dyDescent="0.35"/>
    <row r="5" spans="1:12" ht="70.2" customHeight="1" thickBot="1" x14ac:dyDescent="0.35">
      <c r="A5" s="361" t="s">
        <v>0</v>
      </c>
      <c r="B5" s="362" t="s">
        <v>33</v>
      </c>
      <c r="C5" s="362" t="s">
        <v>34</v>
      </c>
      <c r="D5" s="363" t="s">
        <v>35</v>
      </c>
      <c r="E5" s="363" t="s">
        <v>36</v>
      </c>
      <c r="F5" s="363" t="s">
        <v>37</v>
      </c>
      <c r="G5" s="363" t="s">
        <v>244</v>
      </c>
      <c r="H5" s="362" t="s">
        <v>243</v>
      </c>
      <c r="I5" s="362" t="s">
        <v>665</v>
      </c>
      <c r="J5" s="364" t="s">
        <v>233</v>
      </c>
      <c r="K5" s="409" t="s">
        <v>667</v>
      </c>
    </row>
    <row r="6" spans="1:12" ht="15" thickBot="1" x14ac:dyDescent="0.35">
      <c r="A6" s="107" t="s">
        <v>229</v>
      </c>
      <c r="B6" s="365">
        <v>44957</v>
      </c>
      <c r="C6" s="108" t="s">
        <v>230</v>
      </c>
      <c r="D6" s="366"/>
      <c r="E6" s="366"/>
      <c r="F6" s="366"/>
      <c r="G6" s="366"/>
      <c r="H6" s="366"/>
      <c r="I6" s="366"/>
      <c r="J6" s="367"/>
      <c r="K6" s="409" t="s">
        <v>668</v>
      </c>
    </row>
    <row r="7" spans="1:12" x14ac:dyDescent="0.3">
      <c r="A7" s="521" t="s">
        <v>231</v>
      </c>
      <c r="B7" s="523">
        <v>44959</v>
      </c>
      <c r="C7" s="109" t="s">
        <v>232</v>
      </c>
      <c r="D7" s="109" t="s">
        <v>38</v>
      </c>
      <c r="E7" s="368"/>
      <c r="F7" s="135">
        <v>45</v>
      </c>
      <c r="G7" s="135">
        <v>0</v>
      </c>
      <c r="H7" s="135" t="s">
        <v>245</v>
      </c>
      <c r="I7" s="135"/>
      <c r="J7" s="369"/>
      <c r="K7" s="527" t="s">
        <v>669</v>
      </c>
    </row>
    <row r="8" spans="1:12" ht="15" thickBot="1" x14ac:dyDescent="0.35">
      <c r="A8" s="522"/>
      <c r="B8" s="524"/>
      <c r="C8" s="100" t="s">
        <v>87</v>
      </c>
      <c r="D8" s="100" t="s">
        <v>246</v>
      </c>
      <c r="E8" s="106">
        <v>327.27</v>
      </c>
      <c r="F8" s="106">
        <v>360</v>
      </c>
      <c r="G8" s="106">
        <v>32.729999999999997</v>
      </c>
      <c r="H8" s="370">
        <v>0.1</v>
      </c>
      <c r="I8" s="370"/>
      <c r="J8" s="371">
        <v>44960</v>
      </c>
      <c r="K8" s="528"/>
    </row>
    <row r="9" spans="1:12" ht="29.4" thickBot="1" x14ac:dyDescent="0.35">
      <c r="A9" s="521" t="s">
        <v>348</v>
      </c>
      <c r="B9" s="523">
        <v>44981</v>
      </c>
      <c r="C9" s="109" t="s">
        <v>402</v>
      </c>
      <c r="D9" s="109" t="s">
        <v>460</v>
      </c>
      <c r="E9" s="368"/>
      <c r="F9" s="135">
        <v>448</v>
      </c>
      <c r="G9" s="135">
        <v>0</v>
      </c>
      <c r="H9" s="135" t="s">
        <v>245</v>
      </c>
      <c r="I9" s="372" t="s">
        <v>461</v>
      </c>
      <c r="J9" s="373">
        <v>45041</v>
      </c>
      <c r="K9" s="527" t="s">
        <v>670</v>
      </c>
    </row>
    <row r="10" spans="1:12" ht="15" thickBot="1" x14ac:dyDescent="0.35">
      <c r="A10" s="526"/>
      <c r="B10" s="525"/>
      <c r="C10" s="359" t="s">
        <v>349</v>
      </c>
      <c r="D10" s="359" t="s">
        <v>715</v>
      </c>
      <c r="E10" s="368"/>
      <c r="F10" s="105">
        <v>179.55</v>
      </c>
      <c r="G10" s="378"/>
      <c r="H10" s="105" t="s">
        <v>245</v>
      </c>
      <c r="I10" s="412">
        <v>45229</v>
      </c>
      <c r="J10" s="7"/>
      <c r="K10" s="529"/>
    </row>
    <row r="11" spans="1:12" ht="15" thickBot="1" x14ac:dyDescent="0.35">
      <c r="A11" s="522"/>
      <c r="B11" s="524"/>
      <c r="C11" s="100" t="s">
        <v>350</v>
      </c>
      <c r="D11" s="100" t="s">
        <v>351</v>
      </c>
      <c r="E11" s="106">
        <v>1140</v>
      </c>
      <c r="F11" s="106">
        <v>1254</v>
      </c>
      <c r="G11" s="106">
        <v>114</v>
      </c>
      <c r="H11" s="370">
        <v>0.1</v>
      </c>
      <c r="I11" s="374">
        <v>44985</v>
      </c>
      <c r="J11" s="375">
        <v>44985</v>
      </c>
      <c r="K11" s="528"/>
    </row>
    <row r="12" spans="1:12" ht="15" thickBot="1" x14ac:dyDescent="0.35">
      <c r="A12" s="107" t="s">
        <v>347</v>
      </c>
      <c r="B12" s="365">
        <v>44981</v>
      </c>
      <c r="C12" s="108" t="s">
        <v>87</v>
      </c>
      <c r="D12" s="108" t="s">
        <v>352</v>
      </c>
      <c r="E12" s="133">
        <v>360</v>
      </c>
      <c r="F12" s="133">
        <v>396</v>
      </c>
      <c r="G12" s="133">
        <v>30</v>
      </c>
      <c r="H12" s="376">
        <v>0.1</v>
      </c>
      <c r="I12" s="133"/>
      <c r="J12" s="377">
        <v>44999</v>
      </c>
      <c r="K12" s="409" t="s">
        <v>671</v>
      </c>
    </row>
    <row r="13" spans="1:12" ht="15" thickBot="1" x14ac:dyDescent="0.35">
      <c r="A13" s="107" t="s">
        <v>449</v>
      </c>
      <c r="B13" s="365">
        <v>44989</v>
      </c>
      <c r="C13" s="108" t="s">
        <v>230</v>
      </c>
      <c r="D13" s="366"/>
      <c r="E13" s="378"/>
      <c r="F13" s="378"/>
      <c r="G13" s="378"/>
      <c r="H13" s="379"/>
      <c r="I13" s="378"/>
      <c r="J13" s="380"/>
      <c r="K13" s="409" t="s">
        <v>672</v>
      </c>
    </row>
    <row r="14" spans="1:12" ht="15" thickBot="1" x14ac:dyDescent="0.35">
      <c r="A14" s="107" t="s">
        <v>450</v>
      </c>
      <c r="B14" s="365">
        <v>45001</v>
      </c>
      <c r="C14" s="108" t="s">
        <v>230</v>
      </c>
      <c r="D14" s="366"/>
      <c r="E14" s="378"/>
      <c r="F14" s="378"/>
      <c r="G14" s="378"/>
      <c r="H14" s="379"/>
      <c r="I14" s="378"/>
      <c r="J14" s="380"/>
      <c r="K14" s="409" t="s">
        <v>673</v>
      </c>
    </row>
    <row r="15" spans="1:12" ht="28.8" x14ac:dyDescent="0.3">
      <c r="A15" s="521" t="s">
        <v>401</v>
      </c>
      <c r="B15" s="523">
        <v>45001</v>
      </c>
      <c r="C15" s="109" t="s">
        <v>402</v>
      </c>
      <c r="D15" s="109" t="s">
        <v>664</v>
      </c>
      <c r="E15" s="381"/>
      <c r="F15" s="135">
        <v>328</v>
      </c>
      <c r="G15" s="135"/>
      <c r="H15" s="135" t="s">
        <v>245</v>
      </c>
      <c r="I15" s="372" t="s">
        <v>461</v>
      </c>
      <c r="J15" s="382">
        <v>45113</v>
      </c>
      <c r="K15" s="527" t="s">
        <v>674</v>
      </c>
    </row>
    <row r="16" spans="1:12" ht="15" thickBot="1" x14ac:dyDescent="0.35">
      <c r="A16" s="522"/>
      <c r="B16" s="524"/>
      <c r="C16" s="100" t="s">
        <v>403</v>
      </c>
      <c r="D16" s="100" t="s">
        <v>419</v>
      </c>
      <c r="E16" s="106">
        <v>1304.55</v>
      </c>
      <c r="F16" s="106">
        <v>1435</v>
      </c>
      <c r="G16" s="106">
        <v>130.44999999999999</v>
      </c>
      <c r="H16" s="370">
        <v>0.1</v>
      </c>
      <c r="I16" s="374">
        <v>45012</v>
      </c>
      <c r="J16" s="383" t="s">
        <v>443</v>
      </c>
      <c r="K16" s="528"/>
    </row>
    <row r="17" spans="1:11" ht="15" thickBot="1" x14ac:dyDescent="0.35">
      <c r="A17" s="107" t="s">
        <v>451</v>
      </c>
      <c r="B17" s="108"/>
      <c r="C17" s="384" t="s">
        <v>230</v>
      </c>
      <c r="D17" s="366"/>
      <c r="E17" s="378"/>
      <c r="F17" s="378"/>
      <c r="G17" s="378"/>
      <c r="H17" s="378"/>
      <c r="I17" s="378"/>
      <c r="J17" s="367"/>
      <c r="K17" s="409" t="s">
        <v>675</v>
      </c>
    </row>
    <row r="18" spans="1:11" ht="15" thickBot="1" x14ac:dyDescent="0.35">
      <c r="A18" s="107" t="s">
        <v>364</v>
      </c>
      <c r="B18" s="108"/>
      <c r="C18" s="384" t="s">
        <v>230</v>
      </c>
      <c r="D18" s="366"/>
      <c r="E18" s="378"/>
      <c r="F18" s="378"/>
      <c r="G18" s="378"/>
      <c r="H18" s="378"/>
      <c r="I18" s="378"/>
      <c r="J18" s="367"/>
      <c r="K18" s="409" t="s">
        <v>675</v>
      </c>
    </row>
    <row r="19" spans="1:11" ht="15" thickBot="1" x14ac:dyDescent="0.35">
      <c r="A19" s="107" t="s">
        <v>452</v>
      </c>
      <c r="B19" s="365">
        <v>45028</v>
      </c>
      <c r="C19" s="108" t="s">
        <v>230</v>
      </c>
      <c r="D19" s="366"/>
      <c r="E19" s="378"/>
      <c r="F19" s="378"/>
      <c r="G19" s="378"/>
      <c r="H19" s="378"/>
      <c r="I19" s="378"/>
      <c r="J19" s="367"/>
      <c r="K19" s="409" t="s">
        <v>676</v>
      </c>
    </row>
    <row r="20" spans="1:11" ht="15" thickBot="1" x14ac:dyDescent="0.35">
      <c r="A20" s="521" t="s">
        <v>442</v>
      </c>
      <c r="B20" s="523">
        <v>45031</v>
      </c>
      <c r="C20" s="109" t="s">
        <v>87</v>
      </c>
      <c r="D20" s="385">
        <v>45040</v>
      </c>
      <c r="E20" s="135">
        <v>477.27</v>
      </c>
      <c r="F20" s="135">
        <v>525</v>
      </c>
      <c r="G20" s="135">
        <v>47.73</v>
      </c>
      <c r="H20" s="386">
        <v>0.1</v>
      </c>
      <c r="I20" s="385">
        <v>45040</v>
      </c>
      <c r="J20" s="369" t="s">
        <v>459</v>
      </c>
      <c r="K20" s="527" t="s">
        <v>677</v>
      </c>
    </row>
    <row r="21" spans="1:11" ht="15" thickBot="1" x14ac:dyDescent="0.35">
      <c r="A21" s="531"/>
      <c r="B21" s="530"/>
      <c r="C21" s="410" t="s">
        <v>155</v>
      </c>
      <c r="D21" s="416"/>
      <c r="E21" s="417"/>
      <c r="F21" s="418"/>
      <c r="G21" s="417"/>
      <c r="H21" s="419"/>
      <c r="I21" s="416"/>
      <c r="J21" s="411"/>
      <c r="K21" s="529"/>
    </row>
    <row r="22" spans="1:11" ht="15" thickBot="1" x14ac:dyDescent="0.35">
      <c r="A22" s="522"/>
      <c r="B22" s="524"/>
      <c r="C22" s="100" t="s">
        <v>349</v>
      </c>
      <c r="D22" s="100" t="s">
        <v>716</v>
      </c>
      <c r="E22" s="366"/>
      <c r="F22" s="106">
        <v>63</v>
      </c>
      <c r="G22" s="366"/>
      <c r="H22" s="106" t="s">
        <v>245</v>
      </c>
      <c r="I22" s="397">
        <v>45229</v>
      </c>
      <c r="J22" s="383"/>
      <c r="K22" s="528"/>
    </row>
    <row r="23" spans="1:11" ht="15" thickBot="1" x14ac:dyDescent="0.35">
      <c r="A23" s="107" t="s">
        <v>453</v>
      </c>
      <c r="B23" s="365">
        <v>45037</v>
      </c>
      <c r="C23" s="108" t="s">
        <v>230</v>
      </c>
      <c r="D23" s="366"/>
      <c r="E23" s="366"/>
      <c r="F23" s="366"/>
      <c r="G23" s="366"/>
      <c r="H23" s="366"/>
      <c r="I23" s="366"/>
      <c r="J23" s="367"/>
      <c r="K23" s="409" t="s">
        <v>678</v>
      </c>
    </row>
    <row r="24" spans="1:11" ht="15" thickBot="1" x14ac:dyDescent="0.35">
      <c r="A24" s="107" t="s">
        <v>454</v>
      </c>
      <c r="B24" s="108" t="s">
        <v>478</v>
      </c>
      <c r="C24" s="108" t="s">
        <v>230</v>
      </c>
      <c r="D24" s="366"/>
      <c r="E24" s="366"/>
      <c r="F24" s="366"/>
      <c r="G24" s="366"/>
      <c r="H24" s="366"/>
      <c r="I24" s="366"/>
      <c r="J24" s="367"/>
      <c r="K24" s="409" t="s">
        <v>679</v>
      </c>
    </row>
    <row r="25" spans="1:11" ht="29.4" thickBot="1" x14ac:dyDescent="0.35">
      <c r="A25" s="131" t="s">
        <v>463</v>
      </c>
      <c r="B25" s="365">
        <v>45043</v>
      </c>
      <c r="C25" s="108" t="s">
        <v>87</v>
      </c>
      <c r="D25" s="387">
        <v>45048</v>
      </c>
      <c r="E25" s="108">
        <f>F25-G25</f>
        <v>916.36</v>
      </c>
      <c r="F25" s="108">
        <v>1008</v>
      </c>
      <c r="G25" s="108">
        <v>91.64</v>
      </c>
      <c r="H25" s="376">
        <v>0.1</v>
      </c>
      <c r="I25" s="387">
        <v>45048</v>
      </c>
      <c r="J25" s="388"/>
      <c r="K25" s="409" t="s">
        <v>680</v>
      </c>
    </row>
    <row r="26" spans="1:11" ht="15" thickBot="1" x14ac:dyDescent="0.35">
      <c r="A26" s="107" t="s">
        <v>264</v>
      </c>
      <c r="B26" s="365">
        <v>45045</v>
      </c>
      <c r="C26" s="108" t="s">
        <v>230</v>
      </c>
      <c r="D26" s="366"/>
      <c r="E26" s="366"/>
      <c r="F26" s="366"/>
      <c r="G26" s="366"/>
      <c r="H26" s="366"/>
      <c r="I26" s="366"/>
      <c r="J26" s="367"/>
      <c r="K26" s="409" t="s">
        <v>681</v>
      </c>
    </row>
    <row r="27" spans="1:11" ht="15" thickBot="1" x14ac:dyDescent="0.35">
      <c r="A27" s="107" t="s">
        <v>452</v>
      </c>
      <c r="B27" s="365">
        <v>45056</v>
      </c>
      <c r="C27" s="108" t="s">
        <v>230</v>
      </c>
      <c r="D27" s="366"/>
      <c r="E27" s="366"/>
      <c r="F27" s="366"/>
      <c r="G27" s="366"/>
      <c r="H27" s="366"/>
      <c r="I27" s="366"/>
      <c r="J27" s="367"/>
      <c r="K27" s="409" t="s">
        <v>682</v>
      </c>
    </row>
    <row r="28" spans="1:11" ht="15" thickBot="1" x14ac:dyDescent="0.35">
      <c r="A28" s="107" t="s">
        <v>237</v>
      </c>
      <c r="B28" s="365">
        <v>45057</v>
      </c>
      <c r="C28" s="108" t="s">
        <v>230</v>
      </c>
      <c r="D28" s="366"/>
      <c r="E28" s="366"/>
      <c r="F28" s="366"/>
      <c r="G28" s="366"/>
      <c r="H28" s="366"/>
      <c r="I28" s="366"/>
      <c r="J28" s="367"/>
      <c r="K28" s="409" t="s">
        <v>683</v>
      </c>
    </row>
    <row r="29" spans="1:11" ht="15" thickBot="1" x14ac:dyDescent="0.35">
      <c r="A29" s="107" t="s">
        <v>479</v>
      </c>
      <c r="B29" s="365">
        <v>45058</v>
      </c>
      <c r="C29" s="108" t="s">
        <v>230</v>
      </c>
      <c r="D29" s="366"/>
      <c r="E29" s="366"/>
      <c r="F29" s="366"/>
      <c r="G29" s="366"/>
      <c r="H29" s="366"/>
      <c r="I29" s="366"/>
      <c r="J29" s="367"/>
      <c r="K29" s="409" t="s">
        <v>684</v>
      </c>
    </row>
    <row r="30" spans="1:11" ht="15" thickBot="1" x14ac:dyDescent="0.35">
      <c r="A30" s="107" t="s">
        <v>480</v>
      </c>
      <c r="B30" s="365">
        <v>45059</v>
      </c>
      <c r="C30" s="108" t="s">
        <v>230</v>
      </c>
      <c r="D30" s="366"/>
      <c r="E30" s="366"/>
      <c r="F30" s="366"/>
      <c r="G30" s="366"/>
      <c r="H30" s="366"/>
      <c r="I30" s="366"/>
      <c r="J30" s="367"/>
      <c r="K30" s="409" t="s">
        <v>685</v>
      </c>
    </row>
    <row r="31" spans="1:11" ht="28.8" x14ac:dyDescent="0.3">
      <c r="A31" s="521" t="s">
        <v>481</v>
      </c>
      <c r="B31" s="523">
        <v>45059</v>
      </c>
      <c r="C31" s="109" t="s">
        <v>402</v>
      </c>
      <c r="D31" s="389">
        <v>45079</v>
      </c>
      <c r="E31" s="368"/>
      <c r="F31" s="390">
        <v>112</v>
      </c>
      <c r="G31" s="391"/>
      <c r="H31" s="135" t="s">
        <v>245</v>
      </c>
      <c r="I31" s="372" t="s">
        <v>461</v>
      </c>
      <c r="J31" s="392" t="s">
        <v>663</v>
      </c>
      <c r="K31" s="527" t="s">
        <v>686</v>
      </c>
    </row>
    <row r="32" spans="1:11" ht="15" thickBot="1" x14ac:dyDescent="0.35">
      <c r="A32" s="522"/>
      <c r="B32" s="524"/>
      <c r="C32" s="100" t="s">
        <v>403</v>
      </c>
      <c r="D32" s="393">
        <v>45079</v>
      </c>
      <c r="E32" s="394">
        <v>292.73</v>
      </c>
      <c r="F32" s="394">
        <v>322</v>
      </c>
      <c r="G32" s="394">
        <v>29.27</v>
      </c>
      <c r="H32" s="395">
        <v>0.1</v>
      </c>
      <c r="I32" s="393">
        <v>45079</v>
      </c>
      <c r="J32" s="396"/>
      <c r="K32" s="528"/>
    </row>
    <row r="33" spans="1:11" ht="15" thickBot="1" x14ac:dyDescent="0.35">
      <c r="A33" s="107" t="s">
        <v>452</v>
      </c>
      <c r="B33" s="365">
        <v>45070</v>
      </c>
      <c r="C33" s="108" t="s">
        <v>230</v>
      </c>
      <c r="D33" s="366"/>
      <c r="E33" s="366"/>
      <c r="F33" s="366"/>
      <c r="G33" s="366"/>
      <c r="H33" s="366"/>
      <c r="I33" s="366"/>
      <c r="J33" s="367"/>
      <c r="K33" s="409" t="s">
        <v>687</v>
      </c>
    </row>
    <row r="34" spans="1:11" ht="15" thickBot="1" x14ac:dyDescent="0.35">
      <c r="A34" s="107" t="s">
        <v>482</v>
      </c>
      <c r="B34" s="365">
        <v>45072</v>
      </c>
      <c r="C34" s="108" t="s">
        <v>230</v>
      </c>
      <c r="D34" s="366"/>
      <c r="E34" s="366"/>
      <c r="F34" s="366"/>
      <c r="G34" s="366"/>
      <c r="H34" s="366"/>
      <c r="I34" s="366"/>
      <c r="J34" s="367"/>
      <c r="K34" s="409" t="s">
        <v>688</v>
      </c>
    </row>
    <row r="35" spans="1:11" x14ac:dyDescent="0.3">
      <c r="A35" s="521" t="s">
        <v>494</v>
      </c>
      <c r="B35" s="523">
        <v>45077</v>
      </c>
      <c r="C35" s="109" t="s">
        <v>402</v>
      </c>
      <c r="D35" s="109"/>
      <c r="E35" s="109"/>
      <c r="F35" s="109"/>
      <c r="G35" s="109"/>
      <c r="H35" s="109"/>
      <c r="I35" s="109"/>
      <c r="J35" s="369"/>
      <c r="K35" s="527" t="s">
        <v>689</v>
      </c>
    </row>
    <row r="36" spans="1:11" ht="15" thickBot="1" x14ac:dyDescent="0.35">
      <c r="A36" s="522"/>
      <c r="B36" s="524"/>
      <c r="C36" s="100" t="s">
        <v>403</v>
      </c>
      <c r="D36" s="397">
        <v>45079</v>
      </c>
      <c r="E36" s="100">
        <v>1045.45</v>
      </c>
      <c r="F36" s="100">
        <v>1150</v>
      </c>
      <c r="G36" s="100">
        <v>104.55</v>
      </c>
      <c r="H36" s="370">
        <v>0.1</v>
      </c>
      <c r="I36" s="397">
        <v>45079</v>
      </c>
      <c r="J36" s="383"/>
      <c r="K36" s="528"/>
    </row>
    <row r="37" spans="1:11" ht="15" thickBot="1" x14ac:dyDescent="0.35">
      <c r="A37" s="107" t="s">
        <v>515</v>
      </c>
      <c r="B37" s="365">
        <v>45092</v>
      </c>
      <c r="C37" s="108" t="s">
        <v>87</v>
      </c>
      <c r="D37" s="387">
        <v>45093</v>
      </c>
      <c r="E37" s="108">
        <v>1036.3599999999999</v>
      </c>
      <c r="F37" s="108">
        <v>1140</v>
      </c>
      <c r="G37" s="108">
        <v>103.64</v>
      </c>
      <c r="H37" s="376">
        <v>0.1</v>
      </c>
      <c r="I37" s="387">
        <v>45093</v>
      </c>
      <c r="J37" s="388"/>
      <c r="K37" s="409" t="s">
        <v>690</v>
      </c>
    </row>
    <row r="38" spans="1:11" ht="15" thickBot="1" x14ac:dyDescent="0.35">
      <c r="A38" s="107" t="s">
        <v>642</v>
      </c>
      <c r="B38" s="147" t="s">
        <v>643</v>
      </c>
      <c r="C38" s="108" t="s">
        <v>230</v>
      </c>
      <c r="D38" s="133" t="s">
        <v>245</v>
      </c>
      <c r="E38" s="366"/>
      <c r="F38" s="366"/>
      <c r="G38" s="366"/>
      <c r="H38" s="366"/>
      <c r="I38" s="366"/>
      <c r="J38" s="367"/>
      <c r="K38" s="409" t="s">
        <v>675</v>
      </c>
    </row>
    <row r="39" spans="1:11" ht="29.4" thickBot="1" x14ac:dyDescent="0.35">
      <c r="A39" s="398" t="s">
        <v>487</v>
      </c>
      <c r="B39" s="147" t="s">
        <v>644</v>
      </c>
      <c r="C39" s="108" t="s">
        <v>230</v>
      </c>
      <c r="D39" s="366"/>
      <c r="E39" s="366"/>
      <c r="F39" s="366"/>
      <c r="G39" s="366"/>
      <c r="H39" s="366"/>
      <c r="I39" s="366"/>
      <c r="J39" s="367"/>
      <c r="K39" s="409" t="s">
        <v>691</v>
      </c>
    </row>
    <row r="40" spans="1:11" ht="15" thickBot="1" x14ac:dyDescent="0.35">
      <c r="A40" s="398" t="s">
        <v>521</v>
      </c>
      <c r="B40" s="147" t="s">
        <v>645</v>
      </c>
      <c r="C40" s="108" t="s">
        <v>230</v>
      </c>
      <c r="D40" s="366"/>
      <c r="E40" s="366"/>
      <c r="F40" s="366"/>
      <c r="G40" s="366"/>
      <c r="H40" s="366"/>
      <c r="I40" s="366"/>
      <c r="J40" s="367"/>
      <c r="K40" s="409" t="s">
        <v>692</v>
      </c>
    </row>
    <row r="41" spans="1:11" ht="15" thickBot="1" x14ac:dyDescent="0.35">
      <c r="A41" s="399" t="s">
        <v>416</v>
      </c>
      <c r="B41" s="147" t="s">
        <v>647</v>
      </c>
      <c r="C41" s="108" t="s">
        <v>230</v>
      </c>
      <c r="D41" s="366"/>
      <c r="E41" s="366"/>
      <c r="F41" s="366"/>
      <c r="G41" s="366"/>
      <c r="H41" s="366"/>
      <c r="I41" s="366"/>
      <c r="J41" s="367"/>
      <c r="K41" s="409" t="s">
        <v>693</v>
      </c>
    </row>
    <row r="42" spans="1:11" ht="15" thickBot="1" x14ac:dyDescent="0.35">
      <c r="A42" s="400" t="s">
        <v>433</v>
      </c>
      <c r="B42" s="147" t="s">
        <v>646</v>
      </c>
      <c r="C42" s="108" t="s">
        <v>230</v>
      </c>
      <c r="D42" s="366"/>
      <c r="E42" s="366"/>
      <c r="F42" s="366"/>
      <c r="G42" s="366"/>
      <c r="H42" s="366"/>
      <c r="I42" s="366"/>
      <c r="J42" s="367"/>
      <c r="K42" s="409" t="s">
        <v>694</v>
      </c>
    </row>
    <row r="43" spans="1:11" ht="15" thickBot="1" x14ac:dyDescent="0.35">
      <c r="A43" s="399" t="s">
        <v>573</v>
      </c>
      <c r="B43" s="147" t="s">
        <v>648</v>
      </c>
      <c r="C43" s="108" t="s">
        <v>230</v>
      </c>
      <c r="D43" s="366"/>
      <c r="E43" s="366"/>
      <c r="F43" s="366"/>
      <c r="G43" s="366"/>
      <c r="H43" s="366"/>
      <c r="I43" s="366"/>
      <c r="J43" s="367"/>
      <c r="K43" s="409" t="s">
        <v>695</v>
      </c>
    </row>
    <row r="44" spans="1:11" ht="15" thickBot="1" x14ac:dyDescent="0.35">
      <c r="A44" s="399" t="s">
        <v>531</v>
      </c>
      <c r="B44" s="147" t="s">
        <v>649</v>
      </c>
      <c r="C44" s="108" t="s">
        <v>230</v>
      </c>
      <c r="D44" s="366"/>
      <c r="E44" s="366"/>
      <c r="F44" s="366"/>
      <c r="G44" s="366"/>
      <c r="H44" s="366"/>
      <c r="I44" s="366"/>
      <c r="J44" s="367"/>
      <c r="K44" s="409" t="s">
        <v>696</v>
      </c>
    </row>
    <row r="45" spans="1:11" x14ac:dyDescent="0.3">
      <c r="A45" s="509" t="s">
        <v>622</v>
      </c>
      <c r="B45" s="511" t="s">
        <v>649</v>
      </c>
      <c r="C45" s="109" t="s">
        <v>232</v>
      </c>
      <c r="D45" s="109" t="s">
        <v>38</v>
      </c>
      <c r="E45" s="368"/>
      <c r="F45" s="135"/>
      <c r="G45" s="135"/>
      <c r="H45" s="135" t="s">
        <v>245</v>
      </c>
      <c r="I45" s="135"/>
      <c r="J45" s="369"/>
      <c r="K45" s="527" t="s">
        <v>697</v>
      </c>
    </row>
    <row r="46" spans="1:11" ht="15" thickBot="1" x14ac:dyDescent="0.35">
      <c r="A46" s="510"/>
      <c r="B46" s="512"/>
      <c r="C46" s="100" t="s">
        <v>192</v>
      </c>
      <c r="D46" s="100" t="s">
        <v>38</v>
      </c>
      <c r="E46" s="401"/>
      <c r="F46" s="106"/>
      <c r="G46" s="106"/>
      <c r="H46" s="106" t="s">
        <v>245</v>
      </c>
      <c r="I46" s="106"/>
      <c r="J46" s="383"/>
      <c r="K46" s="528"/>
    </row>
    <row r="47" spans="1:11" x14ac:dyDescent="0.3">
      <c r="A47" s="513" t="s">
        <v>590</v>
      </c>
      <c r="B47" s="515" t="s">
        <v>651</v>
      </c>
      <c r="C47" s="109" t="s">
        <v>230</v>
      </c>
      <c r="D47" s="368"/>
      <c r="E47" s="381"/>
      <c r="F47" s="381"/>
      <c r="G47" s="381"/>
      <c r="H47" s="402"/>
      <c r="I47" s="381"/>
      <c r="J47" s="403"/>
      <c r="K47" s="527" t="s">
        <v>698</v>
      </c>
    </row>
    <row r="48" spans="1:11" ht="15" thickBot="1" x14ac:dyDescent="0.35">
      <c r="A48" s="514"/>
      <c r="B48" s="516"/>
      <c r="C48" s="100" t="s">
        <v>402</v>
      </c>
      <c r="D48" s="401"/>
      <c r="E48" s="404"/>
      <c r="F48" s="404"/>
      <c r="G48" s="404"/>
      <c r="H48" s="405"/>
      <c r="I48" s="404"/>
      <c r="J48" s="406"/>
      <c r="K48" s="532"/>
    </row>
    <row r="49" spans="1:11" x14ac:dyDescent="0.3">
      <c r="A49" s="517" t="s">
        <v>527</v>
      </c>
      <c r="B49" s="519">
        <v>45192</v>
      </c>
      <c r="C49" s="109" t="s">
        <v>230</v>
      </c>
      <c r="D49" s="368"/>
      <c r="E49" s="381"/>
      <c r="F49" s="381"/>
      <c r="G49" s="381"/>
      <c r="H49" s="402"/>
      <c r="I49" s="381"/>
      <c r="J49" s="403"/>
      <c r="K49" s="527" t="s">
        <v>699</v>
      </c>
    </row>
    <row r="50" spans="1:11" ht="15" thickBot="1" x14ac:dyDescent="0.35">
      <c r="A50" s="518"/>
      <c r="B50" s="520"/>
      <c r="C50" s="100" t="s">
        <v>650</v>
      </c>
      <c r="D50" s="100" t="s">
        <v>38</v>
      </c>
      <c r="E50" s="106"/>
      <c r="F50" s="106"/>
      <c r="G50" s="106"/>
      <c r="H50" s="407"/>
      <c r="I50" s="106"/>
      <c r="J50" s="383"/>
      <c r="K50" s="528"/>
    </row>
    <row r="51" spans="1:11" ht="15" thickBot="1" x14ac:dyDescent="0.35">
      <c r="A51" s="399" t="s">
        <v>607</v>
      </c>
      <c r="B51" s="365">
        <v>45194</v>
      </c>
      <c r="C51" s="108" t="s">
        <v>230</v>
      </c>
      <c r="D51" s="366"/>
      <c r="E51" s="378"/>
      <c r="F51" s="378"/>
      <c r="G51" s="378"/>
      <c r="H51" s="379"/>
      <c r="I51" s="378"/>
      <c r="J51" s="380"/>
      <c r="K51" s="409" t="s">
        <v>700</v>
      </c>
    </row>
    <row r="52" spans="1:11" ht="15" thickBot="1" x14ac:dyDescent="0.35">
      <c r="A52" s="399" t="s">
        <v>611</v>
      </c>
      <c r="B52" s="365">
        <v>45195</v>
      </c>
      <c r="C52" s="108" t="s">
        <v>230</v>
      </c>
      <c r="D52" s="366"/>
      <c r="E52" s="378"/>
      <c r="F52" s="378"/>
      <c r="G52" s="378"/>
      <c r="H52" s="379"/>
      <c r="I52" s="378"/>
      <c r="J52" s="380"/>
      <c r="K52" s="409" t="s">
        <v>701</v>
      </c>
    </row>
    <row r="53" spans="1:11" ht="15" thickBot="1" x14ac:dyDescent="0.35">
      <c r="A53" s="399" t="s">
        <v>195</v>
      </c>
      <c r="B53" s="408">
        <v>45204</v>
      </c>
      <c r="C53" s="108" t="s">
        <v>230</v>
      </c>
      <c r="D53" s="366"/>
      <c r="E53" s="378"/>
      <c r="F53" s="378"/>
      <c r="G53" s="378"/>
      <c r="H53" s="379"/>
      <c r="I53" s="378"/>
      <c r="J53" s="380"/>
      <c r="K53" s="409" t="s">
        <v>702</v>
      </c>
    </row>
    <row r="54" spans="1:11" ht="15" thickBot="1" x14ac:dyDescent="0.35">
      <c r="A54" s="399" t="s">
        <v>539</v>
      </c>
      <c r="B54" s="365">
        <v>45204</v>
      </c>
      <c r="C54" s="108" t="s">
        <v>230</v>
      </c>
      <c r="D54" s="366"/>
      <c r="E54" s="378"/>
      <c r="F54" s="378"/>
      <c r="G54" s="378"/>
      <c r="H54" s="379"/>
      <c r="I54" s="378"/>
      <c r="J54" s="380"/>
      <c r="K54" s="409" t="s">
        <v>703</v>
      </c>
    </row>
    <row r="55" spans="1:11" ht="15" thickBot="1" x14ac:dyDescent="0.35">
      <c r="A55" s="399" t="s">
        <v>666</v>
      </c>
      <c r="B55" s="387">
        <v>45216</v>
      </c>
      <c r="C55" s="108" t="s">
        <v>230</v>
      </c>
      <c r="D55" s="366"/>
      <c r="E55" s="378"/>
      <c r="F55" s="378"/>
      <c r="G55" s="378"/>
      <c r="H55" s="379"/>
      <c r="I55" s="378"/>
      <c r="J55" s="380"/>
      <c r="K55" s="4"/>
    </row>
    <row r="56" spans="1:11" x14ac:dyDescent="0.3">
      <c r="A56" s="358" t="s">
        <v>282</v>
      </c>
      <c r="B56" s="360"/>
      <c r="C56" s="360"/>
      <c r="D56" s="360"/>
      <c r="E56" s="360"/>
      <c r="F56" s="360"/>
      <c r="G56" s="360"/>
      <c r="H56" s="360"/>
      <c r="I56" s="360"/>
      <c r="J56" s="360"/>
      <c r="K56" s="4"/>
    </row>
    <row r="57" spans="1:11" x14ac:dyDescent="0.3">
      <c r="A57" s="337" t="s">
        <v>282</v>
      </c>
      <c r="B57" s="5"/>
      <c r="C57" s="5"/>
      <c r="D57" s="5"/>
      <c r="E57" s="5"/>
      <c r="F57" s="5"/>
      <c r="G57" s="5"/>
      <c r="H57" s="5"/>
      <c r="I57" s="5"/>
      <c r="J57" s="5"/>
      <c r="K57" s="4"/>
    </row>
    <row r="58" spans="1:11" x14ac:dyDescent="0.3">
      <c r="A58" s="337" t="s">
        <v>596</v>
      </c>
      <c r="B58" s="5"/>
      <c r="C58" s="5"/>
      <c r="D58" s="5"/>
      <c r="E58" s="5"/>
      <c r="F58" s="5"/>
      <c r="G58" s="5"/>
      <c r="H58" s="5"/>
      <c r="I58" s="5"/>
      <c r="J58" s="5"/>
      <c r="K58" s="4"/>
    </row>
    <row r="59" spans="1:11" x14ac:dyDescent="0.3">
      <c r="A59" s="337" t="s">
        <v>583</v>
      </c>
      <c r="B59" s="5"/>
      <c r="C59" s="5"/>
      <c r="D59" s="5"/>
      <c r="E59" s="5"/>
      <c r="F59" s="5"/>
      <c r="G59" s="5"/>
      <c r="H59" s="5"/>
      <c r="I59" s="5"/>
      <c r="J59" s="5"/>
      <c r="K59" s="4"/>
    </row>
    <row r="60" spans="1:11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4"/>
    </row>
    <row r="61" spans="1:11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x14ac:dyDescent="0.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x14ac:dyDescent="0.3">
      <c r="C67" s="4"/>
      <c r="D67" s="4"/>
      <c r="E67" s="4"/>
      <c r="F67" s="4"/>
      <c r="G67" s="4"/>
      <c r="H67" s="4"/>
      <c r="I67" s="4"/>
      <c r="J67" s="4"/>
    </row>
    <row r="68" spans="1:11" x14ac:dyDescent="0.3">
      <c r="C68" s="4"/>
      <c r="D68" s="4"/>
      <c r="E68" s="4"/>
      <c r="F68" s="4"/>
      <c r="G68" s="4"/>
      <c r="H68" s="4"/>
      <c r="I68" s="4"/>
      <c r="J68" s="4"/>
    </row>
  </sheetData>
  <mergeCells count="28">
    <mergeCell ref="K49:K50"/>
    <mergeCell ref="K20:K22"/>
    <mergeCell ref="K31:K32"/>
    <mergeCell ref="K35:K36"/>
    <mergeCell ref="K45:K46"/>
    <mergeCell ref="K47:K48"/>
    <mergeCell ref="B35:B36"/>
    <mergeCell ref="A35:A36"/>
    <mergeCell ref="A31:A32"/>
    <mergeCell ref="B31:B32"/>
    <mergeCell ref="B20:B22"/>
    <mergeCell ref="A20:A22"/>
    <mergeCell ref="A15:A16"/>
    <mergeCell ref="B15:B16"/>
    <mergeCell ref="A3:L3"/>
    <mergeCell ref="A7:A8"/>
    <mergeCell ref="B7:B8"/>
    <mergeCell ref="B9:B11"/>
    <mergeCell ref="A9:A11"/>
    <mergeCell ref="K7:K8"/>
    <mergeCell ref="K9:K11"/>
    <mergeCell ref="K15:K16"/>
    <mergeCell ref="A45:A46"/>
    <mergeCell ref="B45:B46"/>
    <mergeCell ref="A47:A48"/>
    <mergeCell ref="B47:B48"/>
    <mergeCell ref="A49:A50"/>
    <mergeCell ref="B49:B5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20C39-4FD3-49DA-B149-ED5F01ECC5D0}">
  <dimension ref="A1:Z42"/>
  <sheetViews>
    <sheetView zoomScale="50" zoomScaleNormal="50" workbookViewId="0">
      <selection activeCell="F38" sqref="F38"/>
    </sheetView>
  </sheetViews>
  <sheetFormatPr baseColWidth="10" defaultRowHeight="14.4" x14ac:dyDescent="0.3"/>
  <cols>
    <col min="1" max="1" width="35.5546875" customWidth="1"/>
    <col min="2" max="2" width="34.5546875" customWidth="1"/>
    <col min="3" max="3" width="23.109375" customWidth="1"/>
    <col min="4" max="4" width="36.6640625" customWidth="1"/>
    <col min="5" max="5" width="39.33203125" customWidth="1"/>
    <col min="6" max="6" width="28.88671875" customWidth="1"/>
    <col min="7" max="7" width="42" customWidth="1"/>
    <col min="8" max="8" width="19.109375" customWidth="1"/>
    <col min="9" max="9" width="18" customWidth="1"/>
    <col min="10" max="10" width="17.33203125" customWidth="1"/>
    <col min="11" max="11" width="16.33203125" customWidth="1"/>
    <col min="12" max="12" width="16.5546875" customWidth="1"/>
    <col min="23" max="23" width="54.88671875" customWidth="1"/>
  </cols>
  <sheetData>
    <row r="1" spans="1:23" ht="15" thickBot="1" x14ac:dyDescent="0.35">
      <c r="A1" s="33" t="s">
        <v>38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23" ht="15" thickBot="1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55" t="s">
        <v>27</v>
      </c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7"/>
    </row>
    <row r="3" spans="1:23" ht="15" customHeight="1" x14ac:dyDescent="0.3">
      <c r="A3" s="458" t="s">
        <v>5</v>
      </c>
      <c r="B3" s="459"/>
      <c r="C3" s="459"/>
      <c r="D3" s="459"/>
      <c r="E3" s="460"/>
      <c r="F3" s="459" t="s">
        <v>29</v>
      </c>
      <c r="G3" s="491"/>
      <c r="H3" s="28" t="s">
        <v>40</v>
      </c>
      <c r="I3" s="494" t="s">
        <v>16</v>
      </c>
      <c r="J3" s="495"/>
      <c r="K3" s="537" t="s">
        <v>14</v>
      </c>
      <c r="L3" s="538"/>
      <c r="M3" s="469" t="s">
        <v>18</v>
      </c>
      <c r="N3" s="469"/>
      <c r="O3" s="443" t="s">
        <v>20</v>
      </c>
      <c r="P3" s="443"/>
      <c r="Q3" s="470" t="s">
        <v>22</v>
      </c>
      <c r="R3" s="470"/>
      <c r="S3" s="536" t="s">
        <v>23</v>
      </c>
      <c r="T3" s="536"/>
      <c r="U3" s="533" t="s">
        <v>24</v>
      </c>
      <c r="V3" s="534"/>
    </row>
    <row r="4" spans="1:23" ht="15" customHeight="1" x14ac:dyDescent="0.3">
      <c r="A4" s="9" t="s">
        <v>0</v>
      </c>
      <c r="B4" s="10" t="s">
        <v>1</v>
      </c>
      <c r="C4" s="10" t="s">
        <v>2</v>
      </c>
      <c r="D4" s="10" t="s">
        <v>3</v>
      </c>
      <c r="E4" s="12" t="s">
        <v>4</v>
      </c>
      <c r="F4" s="15" t="s">
        <v>30</v>
      </c>
      <c r="G4" s="10" t="s">
        <v>31</v>
      </c>
      <c r="H4" s="2" t="s">
        <v>39</v>
      </c>
      <c r="I4" s="10" t="s">
        <v>15</v>
      </c>
      <c r="J4" s="10" t="s">
        <v>17</v>
      </c>
      <c r="K4" s="16" t="s">
        <v>12</v>
      </c>
      <c r="L4" s="13" t="s">
        <v>13</v>
      </c>
      <c r="M4" s="17" t="s">
        <v>19</v>
      </c>
      <c r="N4" s="18" t="s">
        <v>13</v>
      </c>
      <c r="O4" s="20" t="s">
        <v>19</v>
      </c>
      <c r="P4" s="19" t="s">
        <v>13</v>
      </c>
      <c r="Q4" s="21" t="s">
        <v>19</v>
      </c>
      <c r="R4" s="22" t="s">
        <v>13</v>
      </c>
      <c r="S4" s="23" t="s">
        <v>19</v>
      </c>
      <c r="T4" s="24" t="s">
        <v>13</v>
      </c>
      <c r="U4" s="25" t="s">
        <v>19</v>
      </c>
      <c r="V4" s="26" t="s">
        <v>13</v>
      </c>
    </row>
    <row r="5" spans="1:23" s="194" customFormat="1" ht="28.8" x14ac:dyDescent="0.3">
      <c r="A5" s="248" t="s">
        <v>82</v>
      </c>
      <c r="B5" s="248" t="s">
        <v>94</v>
      </c>
      <c r="C5" s="192" t="s">
        <v>56</v>
      </c>
      <c r="D5" s="273" t="s">
        <v>93</v>
      </c>
      <c r="E5" s="274" t="s">
        <v>445</v>
      </c>
      <c r="F5" s="275">
        <v>45191</v>
      </c>
      <c r="G5" s="195" t="s">
        <v>549</v>
      </c>
      <c r="H5" s="196">
        <v>44942</v>
      </c>
      <c r="I5" s="187" t="s">
        <v>43</v>
      </c>
      <c r="J5" s="187"/>
      <c r="K5" s="276"/>
      <c r="L5" s="188">
        <v>47</v>
      </c>
      <c r="M5" s="189"/>
      <c r="N5" s="189">
        <f>40*L5</f>
        <v>1880</v>
      </c>
      <c r="O5" s="189"/>
      <c r="P5" s="189"/>
      <c r="Q5" s="189"/>
      <c r="R5" s="189"/>
      <c r="S5" s="189"/>
      <c r="T5" s="189"/>
      <c r="U5" s="189"/>
      <c r="V5" s="277"/>
    </row>
    <row r="6" spans="1:23" s="194" customFormat="1" ht="98.4" customHeight="1" x14ac:dyDescent="0.3">
      <c r="A6" s="248" t="s">
        <v>256</v>
      </c>
      <c r="B6" s="192" t="s">
        <v>260</v>
      </c>
      <c r="C6" s="193" t="s">
        <v>258</v>
      </c>
      <c r="D6" s="249" t="s">
        <v>259</v>
      </c>
      <c r="E6" s="187"/>
      <c r="F6" s="198" t="s">
        <v>257</v>
      </c>
      <c r="G6" s="195" t="s">
        <v>261</v>
      </c>
      <c r="H6" s="196"/>
      <c r="I6" s="187">
        <v>35</v>
      </c>
      <c r="J6" s="187"/>
      <c r="K6" s="188"/>
      <c r="L6" s="188">
        <v>13</v>
      </c>
      <c r="M6" s="189"/>
      <c r="N6" s="189">
        <f>I6*L6</f>
        <v>455</v>
      </c>
      <c r="O6" s="189"/>
      <c r="P6" s="189"/>
      <c r="Q6" s="190"/>
      <c r="R6" s="190"/>
      <c r="S6" s="190"/>
      <c r="T6" s="190"/>
      <c r="U6" s="190"/>
      <c r="V6" s="190"/>
      <c r="W6" s="194" t="s">
        <v>525</v>
      </c>
    </row>
    <row r="7" spans="1:23" s="194" customFormat="1" ht="65.400000000000006" customHeight="1" x14ac:dyDescent="0.3">
      <c r="A7" s="248"/>
      <c r="B7" s="192" t="s">
        <v>336</v>
      </c>
      <c r="C7" s="193" t="s">
        <v>337</v>
      </c>
      <c r="D7" s="187" t="s">
        <v>338</v>
      </c>
      <c r="E7" s="187"/>
      <c r="F7" s="198" t="s">
        <v>335</v>
      </c>
      <c r="G7" s="195"/>
      <c r="H7" s="196"/>
      <c r="I7" s="187">
        <v>10</v>
      </c>
      <c r="J7" s="187"/>
      <c r="K7" s="188"/>
      <c r="L7" s="188"/>
      <c r="M7" s="189"/>
      <c r="N7" s="189"/>
      <c r="O7" s="189"/>
      <c r="P7" s="189"/>
      <c r="Q7" s="190"/>
      <c r="R7" s="190"/>
      <c r="S7" s="190"/>
      <c r="T7" s="190"/>
      <c r="U7" s="190"/>
      <c r="V7" s="190"/>
    </row>
    <row r="8" spans="1:23" s="194" customFormat="1" ht="65.400000000000006" customHeight="1" x14ac:dyDescent="0.3">
      <c r="A8" s="197" t="s">
        <v>405</v>
      </c>
      <c r="B8" s="192"/>
      <c r="C8" s="250" t="s">
        <v>379</v>
      </c>
      <c r="D8" s="251"/>
      <c r="E8" s="187"/>
      <c r="F8" s="198" t="s">
        <v>353</v>
      </c>
      <c r="G8" s="195" t="s">
        <v>488</v>
      </c>
      <c r="H8" s="196"/>
      <c r="I8" s="187">
        <v>20</v>
      </c>
      <c r="J8" s="187"/>
      <c r="K8" s="188"/>
      <c r="L8" s="188">
        <v>5.5</v>
      </c>
      <c r="M8" s="189"/>
      <c r="N8" s="189"/>
      <c r="O8" s="189"/>
      <c r="P8" s="189"/>
      <c r="Q8" s="190"/>
      <c r="R8" s="190"/>
      <c r="S8" s="190"/>
      <c r="T8" s="190"/>
      <c r="U8" s="190"/>
      <c r="V8" s="190"/>
    </row>
    <row r="9" spans="1:23" ht="65.400000000000006" customHeight="1" x14ac:dyDescent="0.3">
      <c r="A9" s="179" t="s">
        <v>407</v>
      </c>
      <c r="B9" s="180"/>
      <c r="C9" s="181"/>
      <c r="D9" s="182"/>
      <c r="E9" s="183"/>
      <c r="F9" s="184" t="s">
        <v>408</v>
      </c>
      <c r="G9" s="185" t="s">
        <v>409</v>
      </c>
      <c r="H9" s="186">
        <v>45006</v>
      </c>
      <c r="I9" s="183">
        <v>50</v>
      </c>
      <c r="J9" s="187"/>
      <c r="K9" s="188"/>
      <c r="L9" s="188">
        <v>33.5</v>
      </c>
      <c r="M9" s="189"/>
      <c r="N9" s="189"/>
      <c r="O9" s="189"/>
      <c r="P9" s="189"/>
      <c r="Q9" s="190"/>
      <c r="R9" s="190"/>
      <c r="S9" s="190"/>
      <c r="T9" s="190"/>
      <c r="U9" s="190"/>
      <c r="V9" s="190"/>
    </row>
    <row r="10" spans="1:23" s="194" customFormat="1" ht="65.400000000000006" customHeight="1" x14ac:dyDescent="0.3">
      <c r="A10" s="197"/>
      <c r="B10" s="192" t="s">
        <v>426</v>
      </c>
      <c r="C10" s="182" t="s">
        <v>427</v>
      </c>
      <c r="D10" s="182"/>
      <c r="E10" s="187"/>
      <c r="F10" s="198" t="s">
        <v>428</v>
      </c>
      <c r="G10" s="185"/>
      <c r="H10" s="186"/>
      <c r="I10" s="183"/>
      <c r="J10" s="187"/>
      <c r="K10" s="188"/>
      <c r="L10" s="188"/>
      <c r="M10" s="189"/>
      <c r="N10" s="189"/>
      <c r="O10" s="189"/>
      <c r="P10" s="189"/>
      <c r="Q10" s="190"/>
      <c r="R10" s="190"/>
      <c r="S10" s="190"/>
      <c r="T10" s="190"/>
      <c r="U10" s="190"/>
      <c r="V10" s="190"/>
    </row>
    <row r="11" spans="1:23" ht="65.400000000000006" customHeight="1" x14ac:dyDescent="0.3">
      <c r="A11" s="197" t="s">
        <v>435</v>
      </c>
      <c r="B11" s="192" t="s">
        <v>437</v>
      </c>
      <c r="C11" s="182" t="s">
        <v>436</v>
      </c>
      <c r="D11" s="182" t="s">
        <v>438</v>
      </c>
      <c r="E11" s="195"/>
      <c r="F11" s="198" t="s">
        <v>439</v>
      </c>
      <c r="G11" s="185" t="s">
        <v>42</v>
      </c>
      <c r="H11" s="252"/>
      <c r="I11" s="253">
        <v>20</v>
      </c>
      <c r="J11" s="254"/>
      <c r="K11" s="255"/>
      <c r="L11" s="255"/>
      <c r="M11" s="256"/>
      <c r="N11" s="256"/>
      <c r="O11" s="256"/>
      <c r="P11" s="256"/>
      <c r="Q11" s="257"/>
      <c r="R11" s="257"/>
      <c r="S11" s="257"/>
      <c r="T11" s="257"/>
      <c r="U11" s="199"/>
      <c r="V11" s="199"/>
    </row>
    <row r="12" spans="1:23" ht="65.400000000000006" customHeight="1" x14ac:dyDescent="0.3">
      <c r="A12" s="206" t="s">
        <v>455</v>
      </c>
      <c r="B12" s="207" t="s">
        <v>456</v>
      </c>
      <c r="C12" s="208" t="s">
        <v>457</v>
      </c>
      <c r="D12" s="209"/>
      <c r="E12" s="210"/>
      <c r="F12" s="211" t="s">
        <v>458</v>
      </c>
      <c r="G12" s="210"/>
      <c r="H12" s="258"/>
      <c r="I12" s="224">
        <v>70</v>
      </c>
      <c r="J12" s="224"/>
      <c r="K12" s="225"/>
      <c r="L12" s="225"/>
      <c r="M12" s="226"/>
      <c r="N12" s="226"/>
      <c r="O12" s="226"/>
      <c r="P12" s="226"/>
      <c r="Q12" s="227"/>
      <c r="R12" s="227"/>
      <c r="S12" s="227"/>
      <c r="T12" s="227"/>
      <c r="U12" s="227"/>
      <c r="V12" s="227"/>
      <c r="W12" t="s">
        <v>462</v>
      </c>
    </row>
    <row r="13" spans="1:23" ht="65.400000000000006" customHeight="1" x14ac:dyDescent="0.3">
      <c r="A13" s="176"/>
      <c r="B13" s="246" t="s">
        <v>496</v>
      </c>
      <c r="C13" t="s">
        <v>495</v>
      </c>
      <c r="D13" s="247"/>
      <c r="E13" s="178"/>
      <c r="F13" s="177" t="s">
        <v>497</v>
      </c>
      <c r="G13" s="178" t="s">
        <v>42</v>
      </c>
      <c r="H13" s="64"/>
      <c r="I13" s="5">
        <v>25</v>
      </c>
      <c r="J13" s="5"/>
      <c r="K13" s="105"/>
      <c r="L13" s="105">
        <v>4.5</v>
      </c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41" t="s">
        <v>513</v>
      </c>
    </row>
    <row r="14" spans="1:23" ht="65.400000000000006" customHeight="1" x14ac:dyDescent="0.3">
      <c r="A14" s="176"/>
      <c r="B14" s="130" t="s">
        <v>512</v>
      </c>
      <c r="C14" s="3" t="s">
        <v>514</v>
      </c>
      <c r="D14" s="3"/>
      <c r="E14" s="178"/>
      <c r="F14" s="177"/>
      <c r="G14" s="178"/>
      <c r="H14" s="64"/>
      <c r="I14" s="5"/>
      <c r="J14" s="5"/>
      <c r="K14" s="105"/>
      <c r="L14" s="105"/>
      <c r="M14" s="228"/>
      <c r="N14" s="228"/>
      <c r="O14" s="228"/>
      <c r="P14" s="228"/>
      <c r="Q14" s="228"/>
      <c r="R14" s="228"/>
      <c r="S14" s="228"/>
      <c r="T14" s="228"/>
      <c r="U14" s="228"/>
      <c r="V14" s="228"/>
    </row>
    <row r="15" spans="1:23" ht="65.400000000000006" customHeight="1" x14ac:dyDescent="0.3">
      <c r="A15" s="182" t="s">
        <v>536</v>
      </c>
      <c r="B15" s="180" t="s">
        <v>534</v>
      </c>
      <c r="C15" s="182" t="s">
        <v>535</v>
      </c>
      <c r="D15" s="180"/>
      <c r="E15" s="180"/>
      <c r="F15" s="187" t="s">
        <v>578</v>
      </c>
      <c r="G15" s="180"/>
      <c r="H15" s="180"/>
      <c r="I15" s="192"/>
      <c r="J15" s="192"/>
      <c r="K15" s="192"/>
      <c r="L15" s="192"/>
      <c r="M15" s="192"/>
      <c r="N15" s="189"/>
      <c r="O15" s="189"/>
      <c r="P15" s="189"/>
      <c r="Q15" s="189"/>
      <c r="R15" s="189"/>
      <c r="S15" s="189"/>
      <c r="T15" s="189"/>
      <c r="U15" s="189"/>
      <c r="V15" s="189"/>
      <c r="W15" t="s">
        <v>591</v>
      </c>
    </row>
    <row r="16" spans="1:23" ht="65.400000000000006" customHeight="1" x14ac:dyDescent="0.3">
      <c r="A16" s="207"/>
      <c r="B16" s="207" t="s">
        <v>541</v>
      </c>
      <c r="C16" s="265" t="s">
        <v>553</v>
      </c>
      <c r="D16" s="266" t="s">
        <v>548</v>
      </c>
      <c r="E16" s="207"/>
      <c r="F16" s="331" t="s">
        <v>547</v>
      </c>
      <c r="G16" s="330" t="s">
        <v>554</v>
      </c>
      <c r="H16" s="207"/>
      <c r="I16" s="267">
        <v>24</v>
      </c>
      <c r="J16" s="267"/>
      <c r="K16" s="267"/>
      <c r="L16" s="267"/>
      <c r="M16" s="267"/>
      <c r="N16" s="226"/>
      <c r="O16" s="226"/>
      <c r="P16" s="226"/>
      <c r="Q16" s="226"/>
      <c r="R16" s="226"/>
      <c r="S16" s="226"/>
      <c r="T16" s="226"/>
      <c r="U16" s="226"/>
      <c r="V16" s="226"/>
      <c r="W16" t="s">
        <v>576</v>
      </c>
    </row>
    <row r="17" spans="1:26" s="194" customFormat="1" ht="65.400000000000006" customHeight="1" x14ac:dyDescent="0.3">
      <c r="A17" s="192" t="s">
        <v>543</v>
      </c>
      <c r="B17" s="192" t="s">
        <v>544</v>
      </c>
      <c r="C17" s="302" t="s">
        <v>552</v>
      </c>
      <c r="D17" s="268" t="s">
        <v>556</v>
      </c>
      <c r="E17" s="187" t="s">
        <v>542</v>
      </c>
      <c r="F17" s="269">
        <v>45199</v>
      </c>
      <c r="G17" s="180" t="s">
        <v>555</v>
      </c>
      <c r="H17" s="180"/>
      <c r="I17" s="192">
        <v>40</v>
      </c>
      <c r="J17" s="192"/>
      <c r="K17" s="192"/>
      <c r="L17" s="192"/>
      <c r="M17" s="192"/>
      <c r="N17" s="189"/>
      <c r="O17" s="189"/>
      <c r="P17" s="189"/>
      <c r="Q17" s="189"/>
      <c r="R17" s="189"/>
      <c r="S17" s="189"/>
      <c r="T17" s="189"/>
      <c r="U17" s="189"/>
      <c r="V17" s="189"/>
      <c r="W17" s="194" t="s">
        <v>624</v>
      </c>
    </row>
    <row r="18" spans="1:26" s="194" customFormat="1" ht="65.400000000000006" customHeight="1" x14ac:dyDescent="0.3">
      <c r="A18" s="192" t="s">
        <v>550</v>
      </c>
      <c r="B18" s="192" t="s">
        <v>560</v>
      </c>
      <c r="C18" s="192" t="s">
        <v>559</v>
      </c>
      <c r="D18" s="268" t="s">
        <v>551</v>
      </c>
      <c r="E18" s="187"/>
      <c r="F18" s="332" t="s">
        <v>558</v>
      </c>
      <c r="G18" s="192" t="s">
        <v>557</v>
      </c>
      <c r="H18" s="192"/>
      <c r="I18" s="192">
        <v>50</v>
      </c>
      <c r="J18" s="192"/>
      <c r="K18" s="192"/>
      <c r="L18" s="192" t="s">
        <v>561</v>
      </c>
      <c r="M18" s="192"/>
      <c r="N18" s="189"/>
      <c r="O18" s="189"/>
      <c r="P18" s="189"/>
      <c r="Q18" s="189"/>
      <c r="R18" s="189"/>
      <c r="S18" s="189"/>
      <c r="T18" s="189"/>
      <c r="U18" s="189"/>
      <c r="V18" s="189"/>
      <c r="W18" s="194" t="s">
        <v>584</v>
      </c>
    </row>
    <row r="19" spans="1:26" ht="65.400000000000006" customHeight="1" x14ac:dyDescent="0.3">
      <c r="A19" s="130" t="s">
        <v>563</v>
      </c>
      <c r="B19" s="130" t="s">
        <v>564</v>
      </c>
      <c r="C19" s="130" t="s">
        <v>565</v>
      </c>
      <c r="D19" s="333" t="s">
        <v>603</v>
      </c>
      <c r="E19" s="5"/>
      <c r="F19" s="334" t="s">
        <v>601</v>
      </c>
      <c r="G19" s="130" t="s">
        <v>566</v>
      </c>
      <c r="H19" s="130"/>
      <c r="I19" s="130" t="s">
        <v>602</v>
      </c>
      <c r="J19" s="130"/>
      <c r="K19" s="130"/>
      <c r="L19" s="130"/>
      <c r="M19" s="130"/>
      <c r="N19" s="228"/>
      <c r="O19" s="228"/>
      <c r="P19" s="228"/>
      <c r="Q19" s="228"/>
      <c r="R19" s="228"/>
      <c r="S19" s="228"/>
      <c r="T19" s="228"/>
      <c r="U19" s="228"/>
      <c r="V19" s="228"/>
    </row>
    <row r="20" spans="1:26" ht="65.400000000000006" customHeight="1" x14ac:dyDescent="0.3">
      <c r="A20" s="130"/>
      <c r="B20" s="130" t="s">
        <v>567</v>
      </c>
      <c r="C20" s="130" t="s">
        <v>569</v>
      </c>
      <c r="D20" s="333" t="s">
        <v>568</v>
      </c>
      <c r="E20" s="5"/>
      <c r="F20" s="335" t="s">
        <v>570</v>
      </c>
      <c r="G20" s="130" t="s">
        <v>108</v>
      </c>
      <c r="H20" s="130"/>
      <c r="I20" s="334">
        <v>10</v>
      </c>
      <c r="J20" s="130"/>
      <c r="K20" s="130"/>
      <c r="L20" s="130"/>
      <c r="M20" s="130"/>
      <c r="N20" s="228"/>
      <c r="O20" s="228"/>
      <c r="P20" s="228"/>
      <c r="Q20" s="228"/>
      <c r="R20" s="228"/>
      <c r="S20" s="228"/>
      <c r="T20" s="228"/>
      <c r="U20" s="228"/>
      <c r="V20" s="228"/>
    </row>
    <row r="21" spans="1:26" s="194" customFormat="1" ht="65.400000000000006" customHeight="1" x14ac:dyDescent="0.3">
      <c r="A21" s="192" t="s">
        <v>592</v>
      </c>
      <c r="B21" s="192" t="s">
        <v>577</v>
      </c>
      <c r="C21" s="187" t="s">
        <v>572</v>
      </c>
      <c r="D21" s="268" t="s">
        <v>593</v>
      </c>
      <c r="E21" s="187"/>
      <c r="F21" s="336">
        <v>45191</v>
      </c>
      <c r="G21" s="192" t="s">
        <v>594</v>
      </c>
      <c r="H21" s="192"/>
      <c r="I21" s="302" t="s">
        <v>571</v>
      </c>
      <c r="J21" s="192"/>
      <c r="K21" s="192"/>
      <c r="L21" s="192"/>
      <c r="M21" s="192"/>
      <c r="N21" s="189"/>
      <c r="O21" s="189"/>
      <c r="P21" s="189"/>
      <c r="Q21" s="189"/>
      <c r="R21" s="189"/>
      <c r="S21" s="189"/>
      <c r="T21" s="189"/>
      <c r="U21" s="189"/>
      <c r="V21" s="189"/>
    </row>
    <row r="22" spans="1:26" x14ac:dyDescent="0.3">
      <c r="A22" s="187" t="s">
        <v>493</v>
      </c>
      <c r="B22" s="192" t="s">
        <v>490</v>
      </c>
      <c r="C22" s="356" t="s">
        <v>491</v>
      </c>
      <c r="D22" s="182" t="s">
        <v>492</v>
      </c>
      <c r="E22" s="187"/>
      <c r="F22" s="288" t="s">
        <v>545</v>
      </c>
      <c r="G22" s="187" t="s">
        <v>546</v>
      </c>
      <c r="H22" s="187"/>
      <c r="I22" s="187"/>
      <c r="J22" s="187"/>
      <c r="K22" s="187"/>
      <c r="L22" s="187">
        <v>43</v>
      </c>
      <c r="M22" s="187"/>
      <c r="N22" s="187"/>
      <c r="O22" s="202"/>
      <c r="P22" s="202">
        <v>50</v>
      </c>
      <c r="Q22" s="202"/>
      <c r="R22" s="202">
        <f>L22*P22</f>
        <v>2150</v>
      </c>
      <c r="S22" s="202"/>
      <c r="T22" s="202"/>
      <c r="U22" s="203"/>
      <c r="V22" s="203"/>
      <c r="W22" s="79" t="s">
        <v>616</v>
      </c>
      <c r="X22" s="170"/>
      <c r="Y22" s="4"/>
      <c r="Z22" s="4"/>
    </row>
    <row r="23" spans="1:26" s="194" customFormat="1" x14ac:dyDescent="0.3">
      <c r="A23" s="187"/>
      <c r="B23" s="192" t="s">
        <v>629</v>
      </c>
      <c r="C23" s="356" t="s">
        <v>627</v>
      </c>
      <c r="D23" s="341" t="s">
        <v>628</v>
      </c>
      <c r="E23" s="187"/>
      <c r="F23" s="290" t="s">
        <v>631</v>
      </c>
      <c r="G23" s="187" t="s">
        <v>632</v>
      </c>
      <c r="H23" s="187"/>
      <c r="I23" s="187">
        <v>11</v>
      </c>
      <c r="J23" s="187"/>
      <c r="K23" s="187"/>
      <c r="L23" s="187">
        <v>9</v>
      </c>
      <c r="M23" s="187"/>
      <c r="N23" s="187"/>
      <c r="O23" s="202"/>
      <c r="P23" s="202"/>
      <c r="Q23" s="202"/>
      <c r="R23" s="202"/>
      <c r="S23" s="202"/>
      <c r="T23" s="202"/>
      <c r="U23" s="202"/>
      <c r="V23" s="202"/>
      <c r="W23" s="314"/>
      <c r="X23" s="314"/>
      <c r="Y23" s="315"/>
      <c r="Z23" s="315"/>
    </row>
    <row r="24" spans="1:26" s="194" customFormat="1" x14ac:dyDescent="0.3">
      <c r="A24" s="187" t="s">
        <v>634</v>
      </c>
      <c r="B24" s="192"/>
      <c r="C24" s="356" t="s">
        <v>662</v>
      </c>
      <c r="D24" s="341" t="s">
        <v>635</v>
      </c>
      <c r="E24" s="187" t="s">
        <v>636</v>
      </c>
      <c r="F24" s="290" t="s">
        <v>633</v>
      </c>
      <c r="G24" s="187" t="s">
        <v>108</v>
      </c>
      <c r="H24" s="187"/>
      <c r="I24" s="187">
        <v>20</v>
      </c>
      <c r="J24" s="187"/>
      <c r="K24" s="187"/>
      <c r="L24" s="187">
        <v>5.5</v>
      </c>
      <c r="M24" s="187"/>
      <c r="N24" s="187"/>
      <c r="O24" s="202"/>
      <c r="P24" s="202"/>
      <c r="Q24" s="202"/>
      <c r="R24" s="202"/>
      <c r="S24" s="202"/>
      <c r="T24" s="202"/>
      <c r="U24" s="202"/>
      <c r="V24" s="202"/>
      <c r="W24" s="314" t="s">
        <v>637</v>
      </c>
      <c r="X24" s="314"/>
      <c r="Y24" s="315"/>
      <c r="Z24" s="315"/>
    </row>
    <row r="25" spans="1:26" s="298" customFormat="1" x14ac:dyDescent="0.3">
      <c r="A25" s="346" t="s">
        <v>705</v>
      </c>
      <c r="B25" s="338" t="s">
        <v>707</v>
      </c>
      <c r="C25" s="357" t="s">
        <v>706</v>
      </c>
      <c r="D25" s="339" t="s">
        <v>708</v>
      </c>
      <c r="E25" s="346"/>
      <c r="F25" s="348" t="s">
        <v>711</v>
      </c>
      <c r="G25" s="346" t="s">
        <v>709</v>
      </c>
      <c r="H25" s="346"/>
      <c r="I25" s="346" t="s">
        <v>710</v>
      </c>
      <c r="J25" s="346"/>
      <c r="K25" s="346"/>
      <c r="L25" s="346"/>
      <c r="M25" s="346"/>
      <c r="N25" s="346"/>
      <c r="O25" s="340"/>
      <c r="P25" s="340"/>
      <c r="Q25" s="340"/>
      <c r="R25" s="340"/>
      <c r="S25" s="340"/>
      <c r="T25" s="340"/>
      <c r="U25" s="340"/>
      <c r="V25" s="340"/>
      <c r="W25" s="296"/>
      <c r="X25" s="296"/>
      <c r="Y25" s="297"/>
      <c r="Z25" s="297"/>
    </row>
    <row r="26" spans="1:26" s="194" customFormat="1" x14ac:dyDescent="0.3">
      <c r="A26" s="187" t="s">
        <v>712</v>
      </c>
      <c r="B26" s="192"/>
      <c r="C26" s="356">
        <v>687745061</v>
      </c>
      <c r="D26" s="341" t="s">
        <v>714</v>
      </c>
      <c r="E26" s="187"/>
      <c r="F26" s="290" t="s">
        <v>713</v>
      </c>
      <c r="G26" s="187" t="s">
        <v>108</v>
      </c>
      <c r="H26" s="187"/>
      <c r="I26" s="187">
        <v>15</v>
      </c>
      <c r="J26" s="187"/>
      <c r="K26" s="187"/>
      <c r="L26" s="187">
        <v>4.5</v>
      </c>
      <c r="M26" s="187"/>
      <c r="N26" s="187"/>
      <c r="O26" s="202"/>
      <c r="P26" s="202"/>
      <c r="Q26" s="202"/>
      <c r="R26" s="202"/>
      <c r="S26" s="202"/>
      <c r="T26" s="202"/>
      <c r="U26" s="202"/>
      <c r="V26" s="202"/>
      <c r="W26" s="314"/>
      <c r="X26" s="314"/>
      <c r="Y26" s="315"/>
      <c r="Z26" s="315"/>
    </row>
    <row r="27" spans="1:26" s="298" customFormat="1" x14ac:dyDescent="0.3">
      <c r="A27" s="346" t="s">
        <v>718</v>
      </c>
      <c r="B27" s="338" t="s">
        <v>717</v>
      </c>
      <c r="C27" s="357" t="s">
        <v>719</v>
      </c>
      <c r="D27" s="339" t="s">
        <v>720</v>
      </c>
      <c r="E27" s="346"/>
      <c r="F27" s="420" t="s">
        <v>726</v>
      </c>
      <c r="G27" s="346" t="s">
        <v>722</v>
      </c>
      <c r="H27" s="346"/>
      <c r="I27" s="346">
        <v>40</v>
      </c>
      <c r="J27" s="346"/>
      <c r="K27" s="346"/>
      <c r="L27" s="346"/>
      <c r="M27" s="346"/>
      <c r="N27" s="346"/>
      <c r="O27" s="340"/>
      <c r="P27" s="340"/>
      <c r="Q27" s="340"/>
      <c r="R27" s="340"/>
      <c r="S27" s="340"/>
      <c r="T27" s="340"/>
      <c r="U27" s="340"/>
      <c r="V27" s="340"/>
      <c r="W27" s="296"/>
      <c r="X27" s="296"/>
      <c r="Y27" s="297"/>
      <c r="Z27" s="297"/>
    </row>
    <row r="28" spans="1:26" x14ac:dyDescent="0.3">
      <c r="A28" s="342"/>
      <c r="B28" s="342"/>
      <c r="C28" s="355"/>
      <c r="D28" s="342"/>
      <c r="E28" s="342"/>
      <c r="F28" s="342"/>
      <c r="G28" s="342"/>
      <c r="H28" s="342"/>
      <c r="I28" s="342"/>
      <c r="J28" s="342"/>
      <c r="K28" s="343">
        <f t="shared" ref="K28:V28" si="0">SUM(K5:K5)</f>
        <v>0</v>
      </c>
      <c r="L28" s="343">
        <f t="shared" si="0"/>
        <v>47</v>
      </c>
      <c r="M28" s="343">
        <f t="shared" si="0"/>
        <v>0</v>
      </c>
      <c r="N28" s="343">
        <f t="shared" si="0"/>
        <v>1880</v>
      </c>
      <c r="O28" s="343">
        <f t="shared" si="0"/>
        <v>0</v>
      </c>
      <c r="P28" s="343">
        <f t="shared" si="0"/>
        <v>0</v>
      </c>
      <c r="Q28" s="343">
        <f t="shared" si="0"/>
        <v>0</v>
      </c>
      <c r="R28" s="343">
        <f t="shared" si="0"/>
        <v>0</v>
      </c>
      <c r="S28" s="343">
        <f t="shared" si="0"/>
        <v>0</v>
      </c>
      <c r="T28" s="343">
        <f t="shared" si="0"/>
        <v>0</v>
      </c>
      <c r="U28" s="343">
        <f t="shared" si="0"/>
        <v>0</v>
      </c>
      <c r="V28" s="343">
        <f t="shared" si="0"/>
        <v>0</v>
      </c>
    </row>
    <row r="29" spans="1:26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4"/>
      <c r="L29" s="4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6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53"/>
      <c r="L30" s="53"/>
    </row>
    <row r="31" spans="1:26" x14ac:dyDescent="0.3">
      <c r="A31" s="4"/>
      <c r="B31" s="535"/>
      <c r="C31" s="535"/>
      <c r="D31" s="421" t="s">
        <v>721</v>
      </c>
      <c r="E31" s="4"/>
      <c r="F31" s="55"/>
      <c r="G31" s="4"/>
      <c r="H31" s="4"/>
      <c r="I31" s="4"/>
      <c r="J31" s="4"/>
      <c r="K31" s="53"/>
      <c r="L31" s="53"/>
    </row>
    <row r="32" spans="1:26" x14ac:dyDescent="0.3">
      <c r="B32" s="1"/>
      <c r="C32" s="1"/>
      <c r="D32" s="4"/>
    </row>
    <row r="33" spans="2:8" x14ac:dyDescent="0.3">
      <c r="B33" s="53"/>
      <c r="C33" s="54"/>
      <c r="D33" s="4"/>
    </row>
    <row r="34" spans="2:8" x14ac:dyDescent="0.3">
      <c r="B34" s="53"/>
      <c r="C34" s="53"/>
      <c r="D34" s="4"/>
      <c r="H34">
        <v>15</v>
      </c>
    </row>
    <row r="35" spans="2:8" x14ac:dyDescent="0.3">
      <c r="B35" s="53"/>
      <c r="C35" s="53"/>
      <c r="D35" s="4"/>
    </row>
    <row r="36" spans="2:8" x14ac:dyDescent="0.3">
      <c r="B36" s="53"/>
      <c r="C36" s="53"/>
      <c r="D36" s="4"/>
    </row>
    <row r="37" spans="2:8" x14ac:dyDescent="0.3">
      <c r="B37" s="53"/>
      <c r="C37" s="53"/>
      <c r="D37" s="36"/>
    </row>
    <row r="38" spans="2:8" x14ac:dyDescent="0.3">
      <c r="B38" s="53"/>
      <c r="C38" s="53"/>
      <c r="D38" s="4"/>
    </row>
    <row r="39" spans="2:8" x14ac:dyDescent="0.3">
      <c r="B39" s="53"/>
      <c r="C39" s="53"/>
      <c r="D39" s="4"/>
    </row>
    <row r="40" spans="2:8" x14ac:dyDescent="0.3">
      <c r="B40" s="53"/>
      <c r="C40" s="53"/>
      <c r="D40" s="4"/>
    </row>
    <row r="41" spans="2:8" x14ac:dyDescent="0.3">
      <c r="B41" s="53"/>
      <c r="C41" s="53"/>
      <c r="D41" s="4"/>
    </row>
    <row r="42" spans="2:8" x14ac:dyDescent="0.3">
      <c r="B42" s="63"/>
      <c r="C42" s="63"/>
    </row>
  </sheetData>
  <mergeCells count="11">
    <mergeCell ref="U3:V3"/>
    <mergeCell ref="B31:C31"/>
    <mergeCell ref="K2:V2"/>
    <mergeCell ref="M3:N3"/>
    <mergeCell ref="O3:P3"/>
    <mergeCell ref="Q3:R3"/>
    <mergeCell ref="S3:T3"/>
    <mergeCell ref="A3:E3"/>
    <mergeCell ref="F3:G3"/>
    <mergeCell ref="I3:J3"/>
    <mergeCell ref="K3:L3"/>
  </mergeCells>
  <hyperlinks>
    <hyperlink ref="D6" r:id="rId1" xr:uid="{5E9B7F54-7294-45E7-85EB-9C908D6C4556}"/>
    <hyperlink ref="D16" r:id="rId2" xr:uid="{6A0D99F1-C20B-4E6F-A45B-68319150F8DD}"/>
    <hyperlink ref="D17" r:id="rId3" xr:uid="{ED9234E9-7B34-41AB-B8AE-C825CC13838A}"/>
    <hyperlink ref="D18" r:id="rId4" xr:uid="{1BB1C841-B5D0-4A63-BCA4-9710B750792D}"/>
    <hyperlink ref="D20" r:id="rId5" xr:uid="{2EB54490-24F8-4A32-8331-6300DD0ADBB3}"/>
    <hyperlink ref="D21" r:id="rId6" xr:uid="{DE86C99A-0A90-4C84-BCD0-4737BE39FF79}"/>
    <hyperlink ref="D19" r:id="rId7" xr:uid="{2AEE8330-16AB-4527-8505-3F4B8DA37966}"/>
    <hyperlink ref="D5" r:id="rId8" xr:uid="{63206F2D-DBEE-4B90-BDCE-5CF81F22A47E}"/>
    <hyperlink ref="D23" r:id="rId9" xr:uid="{654C95F5-1FFA-44C3-A199-1B6F35AFC29C}"/>
    <hyperlink ref="D24" r:id="rId10" xr:uid="{93B8388A-3B64-4D20-B64F-4A716A87F4B6}"/>
    <hyperlink ref="D25" r:id="rId11" xr:uid="{7E3826CB-DB0E-491A-99FE-BC9C07D96BCC}"/>
    <hyperlink ref="D26" r:id="rId12" xr:uid="{7B46513D-DE65-4471-A915-893F0C6A2C5D}"/>
    <hyperlink ref="D27" r:id="rId13" xr:uid="{2D277A2A-3D01-41ED-BC7A-18B22BD237C1}"/>
    <hyperlink ref="D31" r:id="rId14" xr:uid="{C4C0E8D8-E027-419D-8C73-3CC28A916721}"/>
  </hyperlinks>
  <pageMargins left="0.7" right="0.7" top="0.75" bottom="0.75" header="0.3" footer="0.3"/>
  <pageSetup orientation="portrait" r:id="rId1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4367D-0454-43D1-976A-B28CD173A859}">
  <dimension ref="A3:D4"/>
  <sheetViews>
    <sheetView workbookViewId="0">
      <selection activeCell="D19" sqref="D19"/>
    </sheetView>
  </sheetViews>
  <sheetFormatPr baseColWidth="10" defaultRowHeight="14.4" x14ac:dyDescent="0.3"/>
  <cols>
    <col min="2" max="2" width="19" customWidth="1"/>
    <col min="3" max="3" width="34.88671875" customWidth="1"/>
    <col min="4" max="6" width="70.44140625" customWidth="1"/>
  </cols>
  <sheetData>
    <row r="3" spans="1:4" x14ac:dyDescent="0.3">
      <c r="A3" t="s">
        <v>359</v>
      </c>
      <c r="B3" t="s">
        <v>422</v>
      </c>
      <c r="C3" t="s">
        <v>360</v>
      </c>
      <c r="D3" t="s">
        <v>361</v>
      </c>
    </row>
    <row r="4" spans="1:4" x14ac:dyDescent="0.3">
      <c r="A4" t="s">
        <v>653</v>
      </c>
      <c r="B4" t="s">
        <v>654</v>
      </c>
      <c r="C4" t="s">
        <v>655</v>
      </c>
      <c r="D4" t="s">
        <v>361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2BC24-3FC7-4624-ADA4-1349D45E801E}">
  <dimension ref="A1:V12"/>
  <sheetViews>
    <sheetView topLeftCell="F1" workbookViewId="0">
      <selection activeCell="K13" sqref="K13"/>
    </sheetView>
  </sheetViews>
  <sheetFormatPr baseColWidth="10" defaultRowHeight="14.4" x14ac:dyDescent="0.3"/>
  <cols>
    <col min="1" max="1" width="22.33203125" customWidth="1"/>
    <col min="2" max="2" width="17.88671875" customWidth="1"/>
    <col min="3" max="3" width="16.88671875" customWidth="1"/>
    <col min="4" max="4" width="40.5546875" customWidth="1"/>
    <col min="5" max="5" width="23.33203125" customWidth="1"/>
    <col min="6" max="6" width="32.6640625" customWidth="1"/>
    <col min="7" max="7" width="26.109375" customWidth="1"/>
    <col min="8" max="8" width="16.33203125" customWidth="1"/>
    <col min="13" max="13" width="20.88671875" customWidth="1"/>
  </cols>
  <sheetData>
    <row r="1" spans="1:22" ht="15" thickBot="1" x14ac:dyDescent="0.35">
      <c r="A1" s="32" t="s">
        <v>45</v>
      </c>
    </row>
    <row r="2" spans="1:22" x14ac:dyDescent="0.3">
      <c r="A2" s="458" t="s">
        <v>5</v>
      </c>
      <c r="B2" s="459"/>
      <c r="C2" s="459"/>
      <c r="D2" s="459"/>
      <c r="E2" s="460"/>
      <c r="F2" s="459" t="s">
        <v>29</v>
      </c>
      <c r="G2" s="491"/>
      <c r="H2" s="28" t="s">
        <v>40</v>
      </c>
      <c r="I2" s="494" t="s">
        <v>16</v>
      </c>
      <c r="J2" s="495"/>
      <c r="K2" s="507" t="s">
        <v>14</v>
      </c>
      <c r="L2" s="539"/>
      <c r="M2" s="31" t="s">
        <v>46</v>
      </c>
    </row>
    <row r="3" spans="1:22" x14ac:dyDescent="0.3">
      <c r="A3" s="9" t="s">
        <v>0</v>
      </c>
      <c r="B3" s="10" t="s">
        <v>1</v>
      </c>
      <c r="C3" s="10" t="s">
        <v>2</v>
      </c>
      <c r="D3" s="10" t="s">
        <v>3</v>
      </c>
      <c r="E3" s="12" t="s">
        <v>4</v>
      </c>
      <c r="F3" s="15" t="s">
        <v>30</v>
      </c>
      <c r="G3" s="10" t="s">
        <v>31</v>
      </c>
      <c r="H3" s="2" t="s">
        <v>39</v>
      </c>
      <c r="I3" s="10" t="s">
        <v>15</v>
      </c>
      <c r="J3" s="10" t="s">
        <v>17</v>
      </c>
      <c r="K3" s="16" t="s">
        <v>12</v>
      </c>
      <c r="L3" s="30" t="s">
        <v>13</v>
      </c>
      <c r="M3" s="3"/>
    </row>
    <row r="4" spans="1:22" ht="43.2" x14ac:dyDescent="0.3">
      <c r="A4" s="37" t="s">
        <v>48</v>
      </c>
      <c r="B4" s="38" t="s">
        <v>49</v>
      </c>
      <c r="C4" s="38" t="s">
        <v>51</v>
      </c>
      <c r="D4" s="39" t="s">
        <v>52</v>
      </c>
      <c r="E4" s="40"/>
      <c r="F4" s="41" t="s">
        <v>53</v>
      </c>
      <c r="G4" s="38" t="s">
        <v>42</v>
      </c>
      <c r="H4" s="38"/>
      <c r="I4" s="38">
        <v>50</v>
      </c>
      <c r="J4" s="38" t="s">
        <v>50</v>
      </c>
      <c r="K4" s="42"/>
      <c r="L4" s="27">
        <v>4.5</v>
      </c>
      <c r="M4" s="43" t="s">
        <v>47</v>
      </c>
    </row>
    <row r="5" spans="1:22" ht="43.2" x14ac:dyDescent="0.3">
      <c r="A5" s="5" t="s">
        <v>195</v>
      </c>
      <c r="B5" s="5" t="s">
        <v>196</v>
      </c>
      <c r="C5" s="5"/>
      <c r="D5" t="s">
        <v>197</v>
      </c>
      <c r="E5" s="5"/>
      <c r="F5" s="34" t="s">
        <v>193</v>
      </c>
      <c r="G5" s="5" t="s">
        <v>194</v>
      </c>
      <c r="H5" s="64">
        <v>44958</v>
      </c>
      <c r="I5" s="5">
        <v>57</v>
      </c>
      <c r="J5" s="5"/>
      <c r="K5" s="65"/>
      <c r="L5" s="27">
        <v>4.5</v>
      </c>
      <c r="M5" s="111" t="s">
        <v>235</v>
      </c>
      <c r="N5" s="110"/>
      <c r="O5" s="110"/>
      <c r="P5" s="110"/>
      <c r="Q5" s="110"/>
      <c r="R5" s="110"/>
      <c r="S5" s="110"/>
      <c r="T5" s="110"/>
      <c r="U5" s="110"/>
      <c r="V5" s="110"/>
    </row>
    <row r="6" spans="1:22" x14ac:dyDescent="0.3">
      <c r="A6" s="37"/>
      <c r="B6" s="38"/>
      <c r="C6" s="43"/>
      <c r="D6" s="38"/>
      <c r="E6" s="40"/>
      <c r="F6" s="45"/>
      <c r="G6" s="38"/>
      <c r="H6" s="38"/>
      <c r="I6" s="38"/>
      <c r="J6" s="38"/>
      <c r="K6" s="42"/>
      <c r="L6" s="44"/>
      <c r="M6" s="38"/>
    </row>
    <row r="7" spans="1:22" x14ac:dyDescent="0.3">
      <c r="A7" s="37"/>
      <c r="B7" s="38"/>
      <c r="C7" s="38"/>
      <c r="D7" s="38"/>
      <c r="E7" s="40"/>
      <c r="F7" s="41"/>
      <c r="G7" s="38"/>
      <c r="H7" s="38"/>
      <c r="I7" s="38"/>
      <c r="J7" s="38"/>
      <c r="K7" s="42"/>
      <c r="L7" s="44"/>
      <c r="M7" s="38"/>
    </row>
    <row r="8" spans="1:22" x14ac:dyDescent="0.3">
      <c r="A8" s="37"/>
      <c r="B8" s="38"/>
      <c r="C8" s="38"/>
      <c r="D8" s="38"/>
      <c r="E8" s="40"/>
      <c r="F8" s="41"/>
      <c r="G8" s="38"/>
      <c r="H8" s="38"/>
      <c r="I8" s="38"/>
      <c r="J8" s="38"/>
      <c r="K8" s="42"/>
      <c r="L8" s="44"/>
      <c r="M8" s="38"/>
    </row>
    <row r="9" spans="1:22" x14ac:dyDescent="0.3">
      <c r="A9" s="37"/>
      <c r="B9" s="38"/>
      <c r="C9" s="38"/>
      <c r="D9" s="38"/>
      <c r="E9" s="40"/>
      <c r="F9" s="41"/>
      <c r="G9" s="38"/>
      <c r="H9" s="38"/>
      <c r="I9" s="38"/>
      <c r="J9" s="38"/>
      <c r="K9" s="42"/>
      <c r="L9" s="44"/>
      <c r="M9" s="38"/>
    </row>
    <row r="10" spans="1:22" x14ac:dyDescent="0.3">
      <c r="A10" s="37"/>
      <c r="B10" s="38"/>
      <c r="C10" s="38"/>
      <c r="D10" s="38"/>
      <c r="E10" s="40"/>
      <c r="F10" s="41"/>
      <c r="G10" s="38"/>
      <c r="H10" s="38"/>
      <c r="I10" s="38"/>
      <c r="J10" s="38"/>
      <c r="K10" s="42"/>
      <c r="L10" s="44"/>
      <c r="M10" s="38"/>
    </row>
    <row r="11" spans="1:22" x14ac:dyDescent="0.3">
      <c r="A11" s="37"/>
      <c r="B11" s="38"/>
      <c r="C11" s="38"/>
      <c r="D11" s="38"/>
      <c r="E11" s="40"/>
      <c r="F11" s="41"/>
      <c r="G11" s="38"/>
      <c r="H11" s="38"/>
      <c r="I11" s="38"/>
      <c r="J11" s="38"/>
      <c r="K11" s="42"/>
      <c r="L11" s="44"/>
      <c r="M11" s="38"/>
    </row>
    <row r="12" spans="1:22" ht="15" thickBot="1" x14ac:dyDescent="0.35">
      <c r="A12" s="46"/>
      <c r="B12" s="47"/>
      <c r="C12" s="47"/>
      <c r="D12" s="47"/>
      <c r="E12" s="48"/>
      <c r="F12" s="49"/>
      <c r="G12" s="47"/>
      <c r="H12" s="47"/>
      <c r="I12" s="47"/>
      <c r="J12" s="47"/>
      <c r="K12" s="50"/>
      <c r="L12" s="51"/>
      <c r="M12" s="38"/>
    </row>
  </sheetData>
  <mergeCells count="4">
    <mergeCell ref="A2:E2"/>
    <mergeCell ref="F2:G2"/>
    <mergeCell ref="I2:J2"/>
    <mergeCell ref="K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SUIVI DES FACTURES 2022</vt:lpstr>
      <vt:lpstr>SUIVI GROUPES 2022</vt:lpstr>
      <vt:lpstr>SUIVI GROUPES 2023</vt:lpstr>
      <vt:lpstr> SUIVI DES FACTURES 2023</vt:lpstr>
      <vt:lpstr>EN ATTENTE</vt:lpstr>
      <vt:lpstr>2024</vt:lpstr>
      <vt:lpstr>PERDU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l.bovy@comcap.lan</cp:lastModifiedBy>
  <dcterms:created xsi:type="dcterms:W3CDTF">2023-01-04T10:33:25Z</dcterms:created>
  <dcterms:modified xsi:type="dcterms:W3CDTF">2023-11-14T15:09:16Z</dcterms:modified>
</cp:coreProperties>
</file>