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Commande Alimentaire" sheetId="1" r:id="rId1"/>
    <sheet name="Commande Souvenirs, librairie" sheetId="2" r:id="rId2"/>
    <sheet name="Ventes Hagetmau" sheetId="3" r:id="rId3"/>
    <sheet name="Ventes St Sever" sheetId="4" r:id="rId4"/>
    <sheet name="Ventes Amou" sheetId="5" r:id="rId5"/>
    <sheet name="Vente en ligne" sheetId="6" r:id="rId6"/>
    <sheet name="Ventes Musée" sheetId="7" r:id="rId7"/>
    <sheet name="Ventes Samadet" sheetId="8" r:id="rId8"/>
    <sheet name="Ventes Crypte" sheetId="9" r:id="rId9"/>
    <sheet name="Ventes Cave Geaune" sheetId="10" state="hidden" r:id="rId10"/>
    <sheet name="Bilan LC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9" authorId="0">
      <text>
        <r>
          <rPr>
            <b/>
            <sz val="9"/>
            <color indexed="8"/>
            <rFont val="Tahoma"/>
            <family val="2"/>
          </rPr>
          <t xml:space="preserve">5,5% TVA
</t>
        </r>
        <r>
          <rPr>
            <sz val="9"/>
            <color indexed="8"/>
            <rFont val="Tahoma"/>
            <family val="2"/>
          </rPr>
          <t>Changement tarif au 1 mai 2021 
de 10,72€ HT à 10,83€ HT</t>
        </r>
      </text>
    </comment>
    <comment ref="D15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Changement tarif aout 2020</t>
        </r>
      </text>
    </comment>
    <comment ref="D16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 xml:space="preserve">changement tarif juin 
2021
</t>
        </r>
      </text>
    </comment>
    <comment ref="AY20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22 st sever et 3 geaune et 4 hagetmau</t>
        </r>
      </text>
    </comment>
    <comment ref="AY22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15 st sever et 4 geaune et 5 hagetmau</t>
        </r>
      </text>
    </comment>
    <comment ref="AY24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10 st sever et 1 geaune</t>
        </r>
      </text>
    </comment>
    <comment ref="AY29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14 st sever + 4 geaune</t>
        </r>
      </text>
    </comment>
    <comment ref="AY30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17 st sever et 3 geaune et 2 hagetmau</t>
        </r>
      </text>
    </comment>
    <comment ref="AY38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24 st sever et 5 hagetmau</t>
        </r>
      </text>
    </comment>
    <comment ref="AY62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6 st sever et 3 hagetmau</t>
        </r>
      </text>
    </comment>
    <comment ref="AY63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9 st sever et 3 hagetmau</t>
        </r>
      </text>
    </comment>
    <comment ref="AY64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9 st sever et 3 hagetmau</t>
        </r>
      </text>
    </comment>
    <comment ref="AY65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9 st sever et 3 hagtemau</t>
        </r>
      </text>
    </comment>
    <comment ref="AY66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8 st sever et 3 hagetmau</t>
        </r>
      </text>
    </comment>
    <comment ref="AY69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9 st sever et 3 hagtemau</t>
        </r>
      </text>
    </comment>
  </commentList>
</comments>
</file>

<file path=xl/comments11.xml><?xml version="1.0" encoding="utf-8"?>
<comments xmlns="http://schemas.openxmlformats.org/spreadsheetml/2006/main">
  <authors>
    <author> </author>
  </authors>
  <commentList>
    <comment ref="I23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manque vente geaune encaissé en nov soit 44,90</t>
        </r>
      </text>
    </comment>
    <comment ref="I26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manque vente de Geaune encaissé en nov 60,70€</t>
        </r>
      </text>
    </comment>
    <comment ref="I35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Attention Vente Juiilet Aout Geaune encaissé en Novembre 105,60€</t>
        </r>
      </text>
    </comment>
    <comment ref="K2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Rajout vente Amou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D156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Don de 30 affiches 
- 6 OT (2SS 1H, 1 Samadet,1 Cave, 1 crypte
-3 CDC
1Cadeau Sophie
11 Equipe( AG,MDL,LB,PDC,ALP,VD,HDZ,GF,CL,VMP,PB)
5 Orga Tourisme (CDT,MONA,PAYS,MDM OT,CG)
- Rochefort Océan
- 3 divers</t>
        </r>
      </text>
    </comment>
    <comment ref="E40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Changement tarif achat HT de 6,10€ à 6,25€ HT</t>
        </r>
      </text>
    </comment>
    <comment ref="E161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remise de 30% 
Livre à 5,59 HT</t>
        </r>
      </text>
    </comment>
    <comment ref="F55" authorId="0">
      <text>
        <r>
          <rPr>
            <b/>
            <sz val="9"/>
            <color indexed="8"/>
            <rFont val="Tahoma"/>
            <family val="2"/>
          </rPr>
          <t xml:space="preserve">Office:
</t>
        </r>
        <r>
          <rPr>
            <sz val="9"/>
            <color indexed="8"/>
            <rFont val="Tahoma"/>
            <family val="2"/>
          </rPr>
          <t>Don</t>
        </r>
      </text>
    </comment>
    <comment ref="F162" authorId="0">
      <text>
        <r>
          <rPr>
            <b/>
            <sz val="9"/>
            <color indexed="8"/>
            <rFont val="Tahoma"/>
            <family val="2"/>
          </rPr>
          <t xml:space="preserve">Office:
</t>
        </r>
        <r>
          <rPr>
            <sz val="9"/>
            <color indexed="8"/>
            <rFont val="Tahoma"/>
            <family val="2"/>
          </rPr>
          <t>Don</t>
        </r>
      </text>
    </comment>
    <comment ref="H158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 xml:space="preserve">Total commande 100,01 les 5 livres soit 20€ le livre 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C16" authorId="0">
      <text>
        <r>
          <rPr>
            <b/>
            <sz val="9"/>
            <color indexed="8"/>
            <rFont val="Tahoma"/>
            <family val="2"/>
          </rPr>
          <t xml:space="preserve">Gisèle Fray:
</t>
        </r>
        <r>
          <rPr>
            <sz val="9"/>
            <color indexed="8"/>
            <rFont val="Tahoma"/>
            <family val="2"/>
          </rPr>
          <t>1 sortie du stock car abimé</t>
        </r>
      </text>
    </comment>
    <comment ref="C67" authorId="0">
      <text>
        <r>
          <rPr>
            <b/>
            <sz val="9"/>
            <color indexed="8"/>
            <rFont val="Tahoma"/>
            <family val="2"/>
          </rPr>
          <t xml:space="preserve">Gisèle Fray:
</t>
        </r>
        <r>
          <rPr>
            <sz val="9"/>
            <color indexed="8"/>
            <rFont val="Tahoma"/>
            <family val="2"/>
          </rPr>
          <t>sortie 2 lait du stock car périmés</t>
        </r>
      </text>
    </comment>
    <comment ref="C70" authorId="0">
      <text>
        <r>
          <rPr>
            <b/>
            <sz val="9"/>
            <color indexed="8"/>
            <rFont val="Tahoma"/>
            <family val="2"/>
          </rPr>
          <t xml:space="preserve">Gisèle Fray:
</t>
        </r>
        <r>
          <rPr>
            <sz val="9"/>
            <color indexed="8"/>
            <rFont val="Tahoma"/>
            <family val="2"/>
          </rPr>
          <t>1 golden sorite stock car périmée</t>
        </r>
      </text>
    </comment>
    <comment ref="C71" authorId="0">
      <text>
        <r>
          <rPr>
            <b/>
            <sz val="9"/>
            <color indexed="8"/>
            <rFont val="Tahoma"/>
            <family val="2"/>
          </rPr>
          <t xml:space="preserve">Gisèle Fray:
</t>
        </r>
        <r>
          <rPr>
            <sz val="9"/>
            <color indexed="8"/>
            <rFont val="Tahoma"/>
            <family val="2"/>
          </rPr>
          <t>2 sortie stock car périmée</t>
        </r>
      </text>
    </comment>
    <comment ref="C72" authorId="0">
      <text>
        <r>
          <rPr>
            <b/>
            <sz val="9"/>
            <color indexed="8"/>
            <rFont val="Tahoma"/>
            <family val="2"/>
          </rPr>
          <t xml:space="preserve">Gisèle Fray:
</t>
        </r>
        <r>
          <rPr>
            <sz val="9"/>
            <color indexed="8"/>
            <rFont val="Tahoma"/>
            <family val="2"/>
          </rPr>
          <t>2sortie stock car périmée</t>
        </r>
      </text>
    </comment>
    <comment ref="C73" authorId="0">
      <text>
        <r>
          <rPr>
            <b/>
            <sz val="9"/>
            <color indexed="8"/>
            <rFont val="Tahoma"/>
            <family val="2"/>
          </rPr>
          <t xml:space="preserve">Gisèle Fray:
</t>
        </r>
        <r>
          <rPr>
            <sz val="9"/>
            <color indexed="8"/>
            <rFont val="Tahoma"/>
            <family val="2"/>
          </rPr>
          <t>2 sortie stock car périmée</t>
        </r>
      </text>
    </comment>
    <comment ref="C74" authorId="0">
      <text>
        <r>
          <rPr>
            <b/>
            <sz val="9"/>
            <color indexed="8"/>
            <rFont val="Tahoma"/>
            <family val="2"/>
          </rPr>
          <t xml:space="preserve">Gisèle Fray:
</t>
        </r>
        <r>
          <rPr>
            <sz val="9"/>
            <color indexed="8"/>
            <rFont val="Tahoma"/>
            <family val="2"/>
          </rPr>
          <t>1 sortie stock car périmée</t>
        </r>
      </text>
    </comment>
    <comment ref="I24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donné le 31/03/2021 abimé</t>
        </r>
      </text>
    </comment>
    <comment ref="X84" authorId="0">
      <text>
        <r>
          <rPr>
            <b/>
            <sz val="9"/>
            <color indexed="8"/>
            <rFont val="Tahoma"/>
            <family val="2"/>
          </rPr>
          <t xml:space="preserve">Gisèle Fray:
</t>
        </r>
        <r>
          <rPr>
            <sz val="9"/>
            <color indexed="8"/>
            <rFont val="Tahoma"/>
            <family val="2"/>
          </rPr>
          <t>offre d'automne</t>
        </r>
      </text>
    </comment>
    <comment ref="AD23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Don</t>
        </r>
      </text>
    </comment>
    <comment ref="AF3" authorId="0">
      <text>
        <r>
          <rPr>
            <b/>
            <sz val="9"/>
            <color indexed="8"/>
            <rFont val="Tahoma"/>
            <family val="2"/>
          </rPr>
          <t xml:space="preserve">Dessin:
</t>
        </r>
        <r>
          <rPr>
            <sz val="9"/>
            <color indexed="8"/>
            <rFont val="Tahoma"/>
            <family val="2"/>
          </rPr>
          <t>Total des ventes</t>
        </r>
      </text>
    </comment>
    <comment ref="AJ24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1 donné le 31/03 abimé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C196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 xml:space="preserve">13 </t>
        </r>
      </text>
    </comment>
    <comment ref="C198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4</t>
        </r>
      </text>
    </comment>
    <comment ref="N165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Gratuit</t>
        </r>
      </text>
    </comment>
    <comment ref="AB143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3 TP et 5 Prix achat vendu mairie de geaune</t>
        </r>
      </text>
    </comment>
    <comment ref="AG3" authorId="0">
      <text>
        <r>
          <rPr>
            <b/>
            <sz val="9"/>
            <color indexed="8"/>
            <rFont val="Tahoma"/>
            <family val="2"/>
          </rPr>
          <t xml:space="preserve">Dessin:
</t>
        </r>
        <r>
          <rPr>
            <sz val="9"/>
            <color indexed="8"/>
            <rFont val="Tahoma"/>
            <family val="2"/>
          </rPr>
          <t>Total des ventes</t>
        </r>
      </text>
    </comment>
    <comment ref="AK190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14 + 1 garder par l'OT</t>
        </r>
      </text>
    </comment>
    <comment ref="AL8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Avril 2021</t>
        </r>
      </text>
    </comment>
    <comment ref="AL54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 xml:space="preserve">Avril 2021 24
</t>
        </r>
      </text>
    </comment>
    <comment ref="AL58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avril 2021</t>
        </r>
      </text>
    </comment>
    <comment ref="AL71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avril 2021</t>
        </r>
      </text>
    </comment>
    <comment ref="AL99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avril 2021</t>
        </r>
      </text>
    </comment>
    <comment ref="AL102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avril 2021</t>
        </r>
      </text>
    </comment>
    <comment ref="AL104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avril 2021</t>
        </r>
      </text>
    </comment>
    <comment ref="AL105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avril 2021</t>
        </r>
      </text>
    </comment>
    <comment ref="AL106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avril 2021</t>
        </r>
      </text>
    </comment>
    <comment ref="AL113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avril 2021</t>
        </r>
      </text>
    </comment>
    <comment ref="AL243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Achat au 27/05/2021</t>
        </r>
      </text>
    </comment>
    <comment ref="AL244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Achat au 27/05/2021</t>
        </r>
      </text>
    </comment>
    <comment ref="AL245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Achat au 27/07/2021</t>
        </r>
      </text>
    </comment>
    <comment ref="AL248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Achat au 27/05/2021</t>
        </r>
      </text>
    </comment>
    <comment ref="AL252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Commande du 27/05/2021</t>
        </r>
      </text>
    </comment>
    <comment ref="AM5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5 Samadet juin 2021</t>
        </r>
      </text>
    </comment>
    <comment ref="AM9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5 Samadet juin 2021</t>
        </r>
      </text>
    </comment>
    <comment ref="AM11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 xml:space="preserve">2 Amou Mars 2021
2 Hagetmau 1Mai 2021
3 Samadet juin 2021
</t>
        </r>
      </text>
    </comment>
    <comment ref="AM12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2 Amou Mars 2021
3 Samadet Juin 2021</t>
        </r>
      </text>
    </comment>
    <comment ref="AM16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2 Hagetmau Juin 2021
3 Samadet Juin 2021
2 Amou Juin 2021</t>
        </r>
      </text>
    </comment>
    <comment ref="AM17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10/05 Hagetmau 2</t>
        </r>
      </text>
    </comment>
    <comment ref="AM18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 xml:space="preserve">6 Samadet juin 2021
</t>
        </r>
      </text>
    </comment>
    <comment ref="AM20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6 Samadet juin 2021</t>
        </r>
      </text>
    </comment>
    <comment ref="AM22" authorId="0">
      <text>
        <r>
          <rPr>
            <b/>
            <sz val="9"/>
            <color indexed="8"/>
            <rFont val="Tahoma"/>
            <family val="0"/>
          </rPr>
          <t xml:space="preserve">Valérie Daugreilh:
</t>
        </r>
        <r>
          <rPr>
            <sz val="9"/>
            <color indexed="8"/>
            <rFont val="Tahoma"/>
            <family val="0"/>
          </rPr>
          <t>6 Samadet juin 2021</t>
        </r>
      </text>
    </comment>
    <comment ref="AM26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Samadet juin 2021</t>
        </r>
      </text>
    </comment>
    <comment ref="AM27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6 Samadet juin 2021</t>
        </r>
      </text>
    </comment>
    <comment ref="AM29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6 Samadet juin 2021</t>
        </r>
      </text>
    </comment>
    <comment ref="AM33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3 Hagetmau le 09/06/2021
3 Amou le 09/06/2021
3 Samadet le 09/06/2021
4 Musée le 09/06/2021
2 Amou Juillet 2021</t>
        </r>
      </text>
    </comment>
    <comment ref="AM34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3 Hagetmau le 09/06/2021
3 Amou le 09/06/2021
3 Samadet le 09/06/2021
4 Musée le 09/06/2021</t>
        </r>
      </text>
    </comment>
    <comment ref="AM35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3 Hagetmau le 09/06/2021
3 Amou le 09/06/2021
3 Samadet le 09/06/2021
4 Musée le 09/06/2021</t>
        </r>
      </text>
    </comment>
    <comment ref="AM36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10/05 Hagetmau 2
31/05 Hagtemau 2
09/06/2021 Samadet 4
4 Musée Juin 2021
5 Amou Juillet 2021</t>
        </r>
      </text>
    </comment>
    <comment ref="AM39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3 Musée
3 Samadet
2 AMou</t>
        </r>
      </text>
    </comment>
    <comment ref="AM40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 xml:space="preserve">3 Musée
3 Samadet
2 Amou
</t>
        </r>
      </text>
    </comment>
    <comment ref="AM42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6 Samadet juin 2021</t>
        </r>
      </text>
    </comment>
    <comment ref="AM43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2 Hagetmau mai 2021
2 Samadet juin 2021
2 Samadet juillet 2021</t>
        </r>
      </text>
    </comment>
    <comment ref="AM44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2 Hagetmau mai 2021
2 Samadet juin 2021
1 Samadet juillet 2021</t>
        </r>
      </text>
    </comment>
    <comment ref="AM45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6 Samadet juin 2021</t>
        </r>
      </text>
    </comment>
    <comment ref="AM46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3 Amou mars 2021
2Hagetmau mai 2021
3 Samadet juin 2021</t>
        </r>
      </text>
    </comment>
    <comment ref="AM54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4 Hagetmau mai 2021
9 Samadet juin 2021
7 Musée juin 2021</t>
        </r>
      </text>
    </comment>
    <comment ref="AM55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Amou 5 le 11/06/2021
Samadet 5 le 11/06/2021
Musée 5 Juin 2021</t>
        </r>
      </text>
    </comment>
    <comment ref="AM58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10/05 Hagetmau 3
5 Samadet juin 2021
5 Musée Juin 2021
7 Amou juin 2021</t>
        </r>
      </text>
    </comment>
    <comment ref="AM60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10 Samadet juin 2021</t>
        </r>
      </text>
    </comment>
    <comment ref="AM62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10/05 Hagetmau 4</t>
        </r>
      </text>
    </comment>
    <comment ref="AM65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15 Samadet juin 2021</t>
        </r>
      </text>
    </comment>
    <comment ref="AM66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10 Samadet juin 2021 Boule Tursan</t>
        </r>
      </text>
    </comment>
    <comment ref="AM70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8 Musée des Jacobins</t>
        </r>
      </text>
    </comment>
    <comment ref="AM71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10/05 Hagtemau 2</t>
        </r>
      </text>
    </comment>
    <comment ref="AM74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10 Musée Juin 2021</t>
        </r>
      </text>
    </comment>
    <comment ref="AM76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6 Musée juin 2021</t>
        </r>
      </text>
    </comment>
    <comment ref="AM85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5 Samadet juin 2021</t>
        </r>
      </text>
    </comment>
    <comment ref="AM93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5 Samadet juin 2021</t>
        </r>
      </text>
    </comment>
    <comment ref="AM99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5 Amou Avril 2021</t>
        </r>
      </text>
    </comment>
    <comment ref="AM100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1 Hagtemau mai 2021
5 Amou avril 2021</t>
        </r>
      </text>
    </comment>
    <comment ref="AM102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1 Hagetmau mai 2021
5 Amou avril 2021</t>
        </r>
      </text>
    </comment>
    <comment ref="AM103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 xml:space="preserve">10/05 Hagetmau 1
</t>
        </r>
      </text>
    </comment>
    <comment ref="AM105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5 Amou avril 2021</t>
        </r>
      </text>
    </comment>
    <comment ref="AM106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5 Amou avril 2021</t>
        </r>
      </text>
    </comment>
    <comment ref="AM110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10 Amou avril 2021</t>
        </r>
      </text>
    </comment>
    <comment ref="AM119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5 Samadet juin 2021
5 Amou Juillet 2021</t>
        </r>
      </text>
    </comment>
    <comment ref="AM120" authorId="0">
      <text>
        <r>
          <rPr>
            <b/>
            <sz val="9"/>
            <color indexed="8"/>
            <rFont val="Tahoma"/>
            <family val="0"/>
          </rPr>
          <t xml:space="preserve">Valérie Daugreilh:
</t>
        </r>
        <r>
          <rPr>
            <sz val="9"/>
            <color indexed="8"/>
            <rFont val="Tahoma"/>
            <family val="0"/>
          </rPr>
          <t>17 Samadet Juin 2021</t>
        </r>
      </text>
    </comment>
    <comment ref="AM121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Mai 2021 Hagetmau 3
Mai 2021Hagetmau 3
Juin 2021 Hagetmau 5
4 Samadet juin 2021
3 Amou juillet 2021</t>
        </r>
      </text>
    </comment>
    <comment ref="AM122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4 Samadet juin 2021</t>
        </r>
      </text>
    </comment>
    <comment ref="AM124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2 Hagetmau mai 2021
3 Samadet juin 2021
2 Samadet début juillet 2021
2 Amou juillet 2021</t>
        </r>
      </text>
    </comment>
    <comment ref="AM125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5 Museé Jui 2021</t>
        </r>
      </text>
    </comment>
    <comment ref="AM128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 xml:space="preserve">10 Amou mars 2021
20 Samadet juin 2021
</t>
        </r>
      </text>
    </comment>
    <comment ref="AM129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10 Samadet juin 2021</t>
        </r>
      </text>
    </comment>
    <comment ref="AM131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10 Samadet juin 2021</t>
        </r>
      </text>
    </comment>
    <comment ref="AM132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10 Samadet juin 2021</t>
        </r>
      </text>
    </comment>
    <comment ref="AM133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40 Samadet juin 2021</t>
        </r>
      </text>
    </comment>
    <comment ref="AM135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18 Samadet juin 2021</t>
        </r>
      </text>
    </comment>
    <comment ref="AM136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39 Samadet juin 2021</t>
        </r>
      </text>
    </comment>
    <comment ref="AM137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15 Samadet juin 2021</t>
        </r>
      </text>
    </comment>
    <comment ref="AM160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5 Samadet juin 2021
10 Musée Juillet 2021</t>
        </r>
      </text>
    </comment>
    <comment ref="AM162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Musée 20 livrets juin 2021</t>
        </r>
      </text>
    </comment>
    <comment ref="AM163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4 Musée juillet</t>
        </r>
      </text>
    </comment>
    <comment ref="AM165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09/06 Hagetmau 3
09/06 Amou 3
09/06 Samadet 4</t>
        </r>
      </text>
    </comment>
    <comment ref="AM171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3 Samadet juin 2021</t>
        </r>
      </text>
    </comment>
    <comment ref="AM178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4 Samadet juin 2021</t>
        </r>
      </text>
    </comment>
    <comment ref="AM180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5Samadet juin 2021</t>
        </r>
      </text>
    </comment>
    <comment ref="AM186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10/05 Hagetmau 2
5 Samadet juin 2021</t>
        </r>
      </text>
    </comment>
    <comment ref="AM190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3 Samadet juin 2021</t>
        </r>
      </text>
    </comment>
    <comment ref="AM195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3 Hagetmau 10/06/2021 
4 Samadet 10/06/2021</t>
        </r>
      </text>
    </comment>
    <comment ref="AM203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10 Hagetmau juin 2021
25 Samadet juin 2021
22 Musée des Jacobins juin 2021</t>
        </r>
      </text>
    </comment>
    <comment ref="AM204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3 Amou Juin 2021</t>
        </r>
      </text>
    </comment>
    <comment ref="AM205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3 Amou Juin 2021</t>
        </r>
      </text>
    </comment>
    <comment ref="AM206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3 Amou Juin 2021</t>
        </r>
      </text>
    </comment>
    <comment ref="AM207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5 Amou Juin 2021</t>
        </r>
      </text>
    </comment>
    <comment ref="AM228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10/05 Hagetmau 2
avril 2021 Amou 2</t>
        </r>
      </text>
    </comment>
    <comment ref="AM229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10/05 Hagetmau 2
6 Samadet juin 2021
avril 2021 Amou 2</t>
        </r>
      </text>
    </comment>
    <comment ref="AM231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Avril Amou 2021 2</t>
        </r>
      </text>
    </comment>
    <comment ref="AM232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 xml:space="preserve">2 Amou avril 2021 </t>
        </r>
      </text>
    </comment>
    <comment ref="AM234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2 Hagetmau Mai 2021
3 Samadet juin 2021
1 Amou avril 2021</t>
        </r>
      </text>
    </comment>
    <comment ref="AM243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20 Samadet juin 2021</t>
        </r>
      </text>
    </comment>
    <comment ref="AM244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 xml:space="preserve">31 mars Amou
</t>
        </r>
      </text>
    </comment>
    <comment ref="AM246" authorId="0">
      <text>
        <r>
          <rPr>
            <b/>
            <sz val="9"/>
            <color indexed="8"/>
            <rFont val="Tahoma"/>
            <family val="0"/>
          </rPr>
          <t xml:space="preserve">Valérie Daugreilh:
</t>
        </r>
        <r>
          <rPr>
            <sz val="9"/>
            <color indexed="8"/>
            <rFont val="Tahoma"/>
            <family val="0"/>
          </rPr>
          <t>4 Samadet Juin 2021</t>
        </r>
      </text>
    </comment>
    <comment ref="AM248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Amou 5 le 14/06/2021
Samadet 5 le 14/06/2021
Musée 5 le 14/06/2021</t>
        </r>
      </text>
    </comment>
    <comment ref="AM249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5 Samadet juin 2021</t>
        </r>
      </text>
    </comment>
    <comment ref="AM251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10 Samadet juin 2021</t>
        </r>
      </text>
    </comment>
    <comment ref="AM252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Hagetmau 4 le 31/05/2021
Samadet 8 le 14/06/2021</t>
        </r>
      </text>
    </comment>
    <comment ref="AN30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rendu pour échange juin 2021</t>
        </r>
      </text>
    </comment>
    <comment ref="AN31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rendu pour échange juin 2021</t>
        </r>
      </text>
    </comment>
    <comment ref="AN32" authorId="0">
      <text>
        <r>
          <rPr>
            <b/>
            <sz val="9"/>
            <color indexed="8"/>
            <rFont val="Tahoma"/>
            <family val="2"/>
          </rPr>
          <t xml:space="preserve">Carine Lamothe:
</t>
        </r>
        <r>
          <rPr>
            <sz val="9"/>
            <color indexed="8"/>
            <rFont val="Tahoma"/>
            <family val="2"/>
          </rPr>
          <t>rendu pour échange juin 2021</t>
        </r>
      </text>
    </comment>
    <comment ref="AN228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 xml:space="preserve">coffret
</t>
        </r>
      </text>
    </comment>
    <comment ref="AN229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récup du coffret</t>
        </r>
      </text>
    </comment>
    <comment ref="AN230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coffret</t>
        </r>
      </text>
    </comment>
    <comment ref="AN231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2 coffret</t>
        </r>
      </text>
    </comment>
    <comment ref="AN232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coffret</t>
        </r>
      </text>
    </comment>
    <comment ref="AO228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périmée</t>
        </r>
      </text>
    </comment>
    <comment ref="AO231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périmées</t>
        </r>
      </text>
    </comment>
    <comment ref="AO232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périmées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M19" authorId="0">
      <text>
        <r>
          <rPr>
            <b/>
            <sz val="9"/>
            <color indexed="8"/>
            <rFont val="Tahoma"/>
            <family val="0"/>
          </rPr>
          <t xml:space="preserve">Chrystel DUVIGNAU:
</t>
        </r>
        <r>
          <rPr>
            <sz val="9"/>
            <color indexed="8"/>
            <rFont val="Tahoma"/>
            <family val="0"/>
          </rPr>
          <t>erreur sur le paiement / sandrine fait payer 7 € car tarif dans caisse pas faux</t>
        </r>
      </text>
    </comment>
    <comment ref="AE2" authorId="0">
      <text>
        <r>
          <rPr>
            <b/>
            <sz val="9"/>
            <color indexed="8"/>
            <rFont val="Tahoma"/>
            <family val="2"/>
          </rPr>
          <t xml:space="preserve">Dessin:
</t>
        </r>
        <r>
          <rPr>
            <sz val="9"/>
            <color indexed="8"/>
            <rFont val="Tahoma"/>
            <family val="2"/>
          </rPr>
          <t>Total des ventes</t>
        </r>
      </text>
    </comment>
    <comment ref="AK161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2 en juin et 5 en juillet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L14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Envoyé par CL</t>
        </r>
      </text>
    </comment>
    <comment ref="L23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 xml:space="preserve">Envoyé par CL </t>
        </r>
      </text>
    </comment>
    <comment ref="P76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envoyé par CL le 10/06/2021</t>
        </r>
      </text>
    </comment>
    <comment ref="AG3" authorId="0">
      <text>
        <r>
          <rPr>
            <b/>
            <sz val="9"/>
            <color indexed="8"/>
            <rFont val="Tahoma"/>
            <family val="2"/>
          </rPr>
          <t xml:space="preserve">Dessin:
</t>
        </r>
        <r>
          <rPr>
            <sz val="9"/>
            <color indexed="8"/>
            <rFont val="Tahoma"/>
            <family val="2"/>
          </rPr>
          <t>Total des ventes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Q43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4 raisins
4 Jasmin
6 Miel
4 Coton
4 Verveine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M3" authorId="0">
      <text>
        <r>
          <rPr>
            <b/>
            <sz val="9"/>
            <color indexed="8"/>
            <rFont val="Tahoma"/>
            <family val="2"/>
          </rPr>
          <t xml:space="preserve">Dessin:
</t>
        </r>
        <r>
          <rPr>
            <sz val="9"/>
            <color indexed="8"/>
            <rFont val="Tahoma"/>
            <family val="2"/>
          </rPr>
          <t>Total des ventes</t>
        </r>
      </text>
    </comment>
    <comment ref="Q10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3 en juin et 2 pris par Valérie le 02/07/21</t>
        </r>
      </text>
    </comment>
    <comment ref="R23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12/07</t>
        </r>
      </text>
    </comment>
    <comment ref="R24" authorId="0">
      <text>
        <r>
          <rPr>
            <b/>
            <sz val="9"/>
            <color indexed="8"/>
            <rFont val="Tahoma"/>
            <family val="0"/>
          </rPr>
          <t xml:space="preserve">Carine Lamothe:
</t>
        </r>
        <r>
          <rPr>
            <sz val="9"/>
            <color indexed="8"/>
            <rFont val="Tahoma"/>
            <family val="0"/>
          </rPr>
          <t>12/07</t>
        </r>
      </text>
    </comment>
  </commentList>
</comments>
</file>

<file path=xl/sharedStrings.xml><?xml version="1.0" encoding="utf-8"?>
<sst xmlns="http://schemas.openxmlformats.org/spreadsheetml/2006/main" count="2385" uniqueCount="1187">
  <si>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</si>
  <si>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</si>
  <si>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</si>
  <si>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</si>
  <si>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</si>
  <si>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</si>
  <si>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</si>
  <si>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</si>
  <si>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</si>
  <si>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</si>
  <si>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</si>
  <si>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</si>
  <si>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OT ST SEVER</t>
  </si>
  <si>
    <t>OT HAGETMAU</t>
  </si>
  <si>
    <t>SAMADET</t>
  </si>
  <si>
    <t>Musée</t>
  </si>
  <si>
    <t xml:space="preserve">Total Ventes 2021 Nbre produits </t>
  </si>
  <si>
    <t>Total Ventes 2021 CA</t>
  </si>
  <si>
    <t xml:space="preserve">Solde </t>
  </si>
  <si>
    <t>Stock au 1er janvier 2018</t>
  </si>
  <si>
    <t>Achat</t>
  </si>
  <si>
    <t>Total Ventes</t>
  </si>
  <si>
    <t>Stock final</t>
  </si>
  <si>
    <t>Seuil alerte</t>
  </si>
  <si>
    <t>Fournisseurs</t>
  </si>
  <si>
    <t>Coordonnées</t>
  </si>
  <si>
    <t>Produits</t>
  </si>
  <si>
    <t xml:space="preserve">Tarifs unité Achat HT €  </t>
  </si>
  <si>
    <t>Marge OT (min 25%) BENEF</t>
  </si>
  <si>
    <t>%</t>
  </si>
  <si>
    <t>Prix de vente SPL HT = CA</t>
  </si>
  <si>
    <t>Prix de vente SPLTTC 5% (1,055) ou 20% (1,20)</t>
  </si>
  <si>
    <t>TVA</t>
  </si>
  <si>
    <t>Prix de vente SPL</t>
  </si>
  <si>
    <t>Cout €</t>
  </si>
  <si>
    <t>Cout</t>
  </si>
  <si>
    <t xml:space="preserve">Achat </t>
  </si>
  <si>
    <t>Vente Nbre de produits</t>
  </si>
  <si>
    <t>Vente 2021</t>
  </si>
  <si>
    <t>Vente 2020</t>
  </si>
  <si>
    <t>Lafitte</t>
  </si>
  <si>
    <t>05 58 76 40 40 - demander le magasin</t>
  </si>
  <si>
    <t xml:space="preserve">FGcanard 130g, medaille bronze </t>
  </si>
  <si>
    <t>FG canard ( boite sertie )</t>
  </si>
  <si>
    <t xml:space="preserve">Rillettes canard 180g médaille or </t>
  </si>
  <si>
    <t xml:space="preserve">Rilletes canard 180g médaille or </t>
  </si>
  <si>
    <t xml:space="preserve">Filet pic nique </t>
  </si>
  <si>
    <t>Castaing</t>
  </si>
  <si>
    <t xml:space="preserve">Karine POMMAREDE </t>
  </si>
  <si>
    <t xml:space="preserve">Garbure </t>
  </si>
  <si>
    <t>Commercial &lt;commercial@castaing.pro&gt;</t>
  </si>
  <si>
    <t>Confit de canard</t>
  </si>
  <si>
    <t>Ligne directe : 05 58 76 52 00</t>
  </si>
  <si>
    <t xml:space="preserve">Gourmandise gasconne bocal 180g </t>
  </si>
  <si>
    <t>Dubernet</t>
  </si>
  <si>
    <t>05 58 76 01 20 - contact@maison-dubernet.com</t>
  </si>
  <si>
    <t>Lot de Foie Gras Epicuriens</t>
  </si>
  <si>
    <t xml:space="preserve">SARL Oléandes </t>
  </si>
  <si>
    <t>06 52 62 99 66 Julien de St Palais</t>
  </si>
  <si>
    <t xml:space="preserve">Gamme Bio Tournesol 75cl </t>
  </si>
  <si>
    <t xml:space="preserve">Gamme Bio Colza 75cl </t>
  </si>
  <si>
    <t>Ferme de Gardelly</t>
  </si>
  <si>
    <t>Bocal FG oie 130g</t>
  </si>
  <si>
    <t>Foie Gras 130g</t>
  </si>
  <si>
    <t>Magret de canard fourré</t>
  </si>
  <si>
    <t>Magret Fourré</t>
  </si>
  <si>
    <t>Paté</t>
  </si>
  <si>
    <t>Berdin</t>
  </si>
  <si>
    <t>Miel de chataigner</t>
  </si>
  <si>
    <t>Miel d'acacia 500g</t>
  </si>
  <si>
    <t>Chalosse distribution</t>
  </si>
  <si>
    <t>05 58 76 09 82</t>
  </si>
  <si>
    <t xml:space="preserve">Rouge impératrice </t>
  </si>
  <si>
    <t>Rouge Domaine de Labaigt</t>
  </si>
  <si>
    <t xml:space="preserve">Rosé impératrice </t>
  </si>
  <si>
    <t>Rosé Moelleux impératrice</t>
  </si>
  <si>
    <t>Brin de douceur( Rosé Meolleux )</t>
  </si>
  <si>
    <t>Brin de douceur</t>
  </si>
  <si>
    <t>Rosé Domaine de Labaigt</t>
  </si>
  <si>
    <t>Blanc Moelleux Domaine de Labaigt</t>
  </si>
  <si>
    <t>Blanc Moelleux Impératrice</t>
  </si>
  <si>
    <t>Blanc sec Domaine de Labaigt</t>
  </si>
  <si>
    <t>Blanc Impératrice</t>
  </si>
  <si>
    <t>Moelleux Esprit</t>
  </si>
  <si>
    <t>Cap é tot Blanc Moelleux</t>
  </si>
  <si>
    <t xml:space="preserve">Cave </t>
  </si>
  <si>
    <t>Tursan moelleux de la dame</t>
  </si>
  <si>
    <t>Tursan rosé Pèlerin</t>
  </si>
  <si>
    <t>Tursan rouge course landaise</t>
  </si>
  <si>
    <t xml:space="preserve">Bourda </t>
  </si>
  <si>
    <t>Secret d'eugénie</t>
  </si>
  <si>
    <t>Mignonette Vin Rouge</t>
  </si>
  <si>
    <t>Mignonettes vin rouge</t>
  </si>
  <si>
    <t>Mignonettes</t>
  </si>
  <si>
    <t>clave.philippe@orange.fr</t>
  </si>
  <si>
    <t>Floc de Gascogne Rouge</t>
  </si>
  <si>
    <t>Floc de Gascogne Blanc</t>
  </si>
  <si>
    <t>OT MARSAN-OT ST SEVER</t>
  </si>
  <si>
    <t>Coffret 2 Bouteilles</t>
  </si>
  <si>
    <t>Mr Sebie Framboise du Tursan</t>
  </si>
  <si>
    <t>Framboise du Tursan</t>
  </si>
  <si>
    <t>Un bain au chocolat</t>
  </si>
  <si>
    <t>Chocolat Noir</t>
  </si>
  <si>
    <t>Chocolat au lait</t>
  </si>
  <si>
    <t>Les Pentes de Barène</t>
  </si>
  <si>
    <t>Blanc Sec</t>
  </si>
  <si>
    <t>NOUN</t>
  </si>
  <si>
    <t>Mielounette</t>
  </si>
  <si>
    <t>Choconoun Crunchy</t>
  </si>
  <si>
    <t>Ferme Gourgoussa</t>
  </si>
  <si>
    <t>Haricots Blancs 420g</t>
  </si>
  <si>
    <t>Oh Palais d'Isa</t>
  </si>
  <si>
    <t>Agrumes  zestes</t>
  </si>
  <si>
    <t>Mirabelle</t>
  </si>
  <si>
    <t>Piña colada</t>
  </si>
  <si>
    <t>Fraise</t>
  </si>
  <si>
    <t>Pastèque</t>
  </si>
  <si>
    <t>Figue</t>
  </si>
  <si>
    <t>Karablanche</t>
  </si>
  <si>
    <t>Pom d'Amou</t>
  </si>
  <si>
    <t xml:space="preserve">Vinaigre de cidre </t>
  </si>
  <si>
    <t>Jus de fruit Nectar</t>
  </si>
  <si>
    <t>Jus de pomme baby kiwi</t>
  </si>
  <si>
    <t>Jus de pomme vasconia</t>
  </si>
  <si>
    <t>Confiture baby kiwi</t>
  </si>
  <si>
    <t>Confiture baby kiwi/fraise</t>
  </si>
  <si>
    <r>
      <rPr>
        <b/>
        <sz val="11"/>
        <color indexed="17"/>
        <rFont val="Arial"/>
        <family val="2"/>
      </rPr>
      <t xml:space="preserve">Micromégas </t>
    </r>
    <r>
      <rPr>
        <b/>
        <sz val="11"/>
        <color indexed="10"/>
        <rFont val="Arial"/>
        <family val="2"/>
      </rPr>
      <t>vérifier par mail avec Yannick le 02/04</t>
    </r>
  </si>
  <si>
    <t>Golden Ale</t>
  </si>
  <si>
    <t>Irish Scout</t>
  </si>
  <si>
    <t>Resptilian Ipa</t>
  </si>
  <si>
    <t>Saison</t>
  </si>
  <si>
    <t>05 58 76 12 88</t>
  </si>
  <si>
    <t>Witbier</t>
  </si>
  <si>
    <t>Coffret 3 Bouteilles</t>
  </si>
  <si>
    <t>Coffret 5 bouteilles</t>
  </si>
  <si>
    <t>Coffret 6 Bouteilles</t>
  </si>
  <si>
    <t>Vinaigre de Malt 50Cl</t>
  </si>
  <si>
    <t>Vinaigre</t>
  </si>
  <si>
    <t>Confit d'oignon à la bière</t>
  </si>
  <si>
    <t>Confit oignons 220g</t>
  </si>
  <si>
    <t>Plus de stock retirer car dlc passé</t>
  </si>
  <si>
    <t>Taux TVA 5,5%</t>
  </si>
  <si>
    <t>Taux TVA 20%</t>
  </si>
  <si>
    <t xml:space="preserve"> marge en % supp à 100%</t>
  </si>
  <si>
    <t>TVA Non applicable</t>
  </si>
  <si>
    <t>TVA 10%</t>
  </si>
  <si>
    <t>Alim + Souvenirs</t>
  </si>
  <si>
    <t>Budgets cumulés</t>
  </si>
  <si>
    <t>Dépenses cumulées</t>
  </si>
  <si>
    <t>Reste</t>
  </si>
  <si>
    <t>Août</t>
  </si>
  <si>
    <t>Samadet</t>
  </si>
  <si>
    <t>Geaune</t>
  </si>
  <si>
    <t>Crypte</t>
  </si>
  <si>
    <t xml:space="preserve">Total Ventes 2020 Nbre produits </t>
  </si>
  <si>
    <t>Stock au 15 janvier 2019</t>
  </si>
  <si>
    <t>Nbre produits vendus 2019</t>
  </si>
  <si>
    <t>Contact</t>
  </si>
  <si>
    <t>Marge OT  BENEF</t>
  </si>
  <si>
    <t>Prix de vente SPLTTC 5% (1,055) ou 20% (1,20) ou 10% (1,10)</t>
  </si>
  <si>
    <t>Prix de vente SPA / SPL</t>
  </si>
  <si>
    <t>Commentaires</t>
  </si>
  <si>
    <t xml:space="preserve">Cout </t>
  </si>
  <si>
    <t>Cout HT</t>
  </si>
  <si>
    <t>Vente 2019</t>
  </si>
  <si>
    <t>Fêtes</t>
  </si>
  <si>
    <t>Comité des Fêtes St Sever</t>
  </si>
  <si>
    <t>Affiche Fêtes Petite</t>
  </si>
  <si>
    <t>Dépôt vente</t>
  </si>
  <si>
    <t>solangepoudenx@yahoo.fr</t>
  </si>
  <si>
    <t>Affiches Fêtes Grande</t>
  </si>
  <si>
    <t>Autocollants</t>
  </si>
  <si>
    <t>Autocollant</t>
  </si>
  <si>
    <t>Foulards Blason ville</t>
  </si>
  <si>
    <t>Comités des Fêtes Hagetmau</t>
  </si>
  <si>
    <t>Affiches</t>
  </si>
  <si>
    <t>Affiches Hagetmau</t>
  </si>
  <si>
    <t>Carte de rando</t>
  </si>
  <si>
    <t xml:space="preserve">CDT </t>
  </si>
  <si>
    <t>N°1 Tursan</t>
  </si>
  <si>
    <t>Tarif imposé</t>
  </si>
  <si>
    <t>N°2 St Sever Hagetmau</t>
  </si>
  <si>
    <t>N°3 Amou</t>
  </si>
  <si>
    <t>N°4 Haute Chalosse</t>
  </si>
  <si>
    <t>N° 6</t>
  </si>
  <si>
    <t>N°8 Bas Armagnac</t>
  </si>
  <si>
    <t>N°9 Grenade</t>
  </si>
  <si>
    <t>N°10 Le Marsan</t>
  </si>
  <si>
    <t>N° 11 Morcenx</t>
  </si>
  <si>
    <t>N°12 Tartas</t>
  </si>
  <si>
    <t>N°13</t>
  </si>
  <si>
    <t>N°14</t>
  </si>
  <si>
    <t>N°15</t>
  </si>
  <si>
    <t>N°16</t>
  </si>
  <si>
    <t>Equestre</t>
  </si>
  <si>
    <t>VTT</t>
  </si>
  <si>
    <t>Guide Cyclo Landes</t>
  </si>
  <si>
    <t>Pistes cyclables Voie Verte Tome 1</t>
  </si>
  <si>
    <t>Pistes cyclables Voie Verte Tome 2</t>
  </si>
  <si>
    <t>DVD/CD</t>
  </si>
  <si>
    <t>DVD Course Landaise</t>
  </si>
  <si>
    <t>DVD  Course Landaise Version 2</t>
  </si>
  <si>
    <t>Harmonie Pomarez 1</t>
  </si>
  <si>
    <t>Harmonie Pomarez 2</t>
  </si>
  <si>
    <t>Harmonie Amou</t>
  </si>
  <si>
    <t>Petits souvenirs</t>
  </si>
  <si>
    <t>Musée de la Dame</t>
  </si>
  <si>
    <t>Portes Clés  Bois</t>
  </si>
  <si>
    <t>Pendentifs</t>
  </si>
  <si>
    <t>05 58 89 21 73</t>
  </si>
  <si>
    <t>Porte Clés Archéo</t>
  </si>
  <si>
    <t>Kit Peinture</t>
  </si>
  <si>
    <t>Kit Feu</t>
  </si>
  <si>
    <t>Médailles</t>
  </si>
  <si>
    <t>OT du Marsan</t>
  </si>
  <si>
    <t>Sacs I LOVE LANDES</t>
  </si>
  <si>
    <t>Sacs/Pochette</t>
  </si>
  <si>
    <t>Sacs Landes Bleu Marine</t>
  </si>
  <si>
    <t>Sac Cordes Landes</t>
  </si>
  <si>
    <t>Sac Cacharel</t>
  </si>
  <si>
    <t>Pochettes</t>
  </si>
  <si>
    <t>Tote Bag</t>
  </si>
  <si>
    <t>Mug</t>
  </si>
  <si>
    <t>Mug St Sever</t>
  </si>
  <si>
    <t>Stylo/Crayon</t>
  </si>
  <si>
    <t>Stylo toro, mouton, landes</t>
  </si>
  <si>
    <t>Stylos st sever</t>
  </si>
  <si>
    <t>Crayons Landes papier Multicolores</t>
  </si>
  <si>
    <t>Cartes</t>
  </si>
  <si>
    <t>Jeux 54 cartes</t>
  </si>
  <si>
    <t>Jeux de cartes 7 Familles</t>
  </si>
  <si>
    <t>Dés à coudre</t>
  </si>
  <si>
    <t>cedric@leseditionsthouand.fr</t>
  </si>
  <si>
    <t>Autocollant St Sever</t>
  </si>
  <si>
    <t>Autocollant Toro</t>
  </si>
  <si>
    <t>Disque Stationnement</t>
  </si>
  <si>
    <t>Disque de Stationnement</t>
  </si>
  <si>
    <t>Porte clés</t>
  </si>
  <si>
    <t>Porte Clés Blason St Sever</t>
  </si>
  <si>
    <t>Porte Clés Chapiteaux</t>
  </si>
  <si>
    <t>Pdts Hagetmau</t>
  </si>
  <si>
    <t>Porte clés blason</t>
  </si>
  <si>
    <t>Accroche sac</t>
  </si>
  <si>
    <t>Elastique cheveux</t>
  </si>
  <si>
    <t>Stylo</t>
  </si>
  <si>
    <t>Verres "40"</t>
  </si>
  <si>
    <t>Verres "Feria"</t>
  </si>
  <si>
    <t>Brassempouy</t>
  </si>
  <si>
    <t>Porte Clé Dame</t>
  </si>
  <si>
    <t>Porte clé Archéo</t>
  </si>
  <si>
    <t>Peluche renard</t>
  </si>
  <si>
    <t>Peluche renne</t>
  </si>
  <si>
    <t>Peluche mamouth</t>
  </si>
  <si>
    <t>Mamouth figurine</t>
  </si>
  <si>
    <t>Carnet magnetique</t>
  </si>
  <si>
    <t>Carnet magnétique</t>
  </si>
  <si>
    <t>Porte clé cromagnon</t>
  </si>
  <si>
    <t>Beret</t>
  </si>
  <si>
    <t>Jeu mémolo</t>
  </si>
  <si>
    <t>Bague de bois</t>
  </si>
  <si>
    <t>Magnet mémolos</t>
  </si>
  <si>
    <t>Magnet</t>
  </si>
  <si>
    <t>Kit peinture</t>
  </si>
  <si>
    <t>Kit feu</t>
  </si>
  <si>
    <t>Kit gravure</t>
  </si>
  <si>
    <t>Kit pigment</t>
  </si>
  <si>
    <t>Kit parure</t>
  </si>
  <si>
    <t>Kit cranium</t>
  </si>
  <si>
    <t>Pendentif Dame cordon</t>
  </si>
  <si>
    <t>Dame sans socle</t>
  </si>
  <si>
    <t>Crayon de bois</t>
  </si>
  <si>
    <t>Stylo bois de la dame</t>
  </si>
  <si>
    <t>Stylo brassempouy</t>
  </si>
  <si>
    <t>Cra</t>
  </si>
  <si>
    <t>Crayon figurine</t>
  </si>
  <si>
    <t>Mug figurine</t>
  </si>
  <si>
    <t>Jeux gisserot</t>
  </si>
  <si>
    <t>Si j'étais un homme préhisto</t>
  </si>
  <si>
    <t>Vieux stock Amou</t>
  </si>
  <si>
    <t>Kididoc</t>
  </si>
  <si>
    <t>L'homme dans la préhistoire</t>
  </si>
  <si>
    <t xml:space="preserve">Livre de collection Silex </t>
  </si>
  <si>
    <t>Dame sur socle</t>
  </si>
  <si>
    <t>CP Dame</t>
  </si>
  <si>
    <t>CP Maison et archéoparc</t>
  </si>
  <si>
    <t>CP maison de la dame et mastaba</t>
  </si>
  <si>
    <t>CBOCA</t>
  </si>
  <si>
    <t>Magnet Décapsuleur LC</t>
  </si>
  <si>
    <t xml:space="preserve">Magnets Gaujacq </t>
  </si>
  <si>
    <t>Porte clé OT</t>
  </si>
  <si>
    <t>Barettes</t>
  </si>
  <si>
    <t xml:space="preserve">Stylo </t>
  </si>
  <si>
    <t>Miroir de sac</t>
  </si>
  <si>
    <t>FD Course Landaise</t>
  </si>
  <si>
    <t>Magnet FD Adishatz</t>
  </si>
  <si>
    <t>Magnet Ecarteur/Sauteur</t>
  </si>
  <si>
    <t>Magnet Ecarteur</t>
  </si>
  <si>
    <t>Sac course landaise</t>
  </si>
  <si>
    <t>SS verre lot de 10</t>
  </si>
  <si>
    <t>Posters</t>
  </si>
  <si>
    <t>Décapsuleur</t>
  </si>
  <si>
    <t>Papeti</t>
  </si>
  <si>
    <t>Boules de Noel St Sever</t>
  </si>
  <si>
    <t>Boules de Noel Hagetmau</t>
  </si>
  <si>
    <t>Boules de Noel Cave</t>
  </si>
  <si>
    <t>Terra aventura</t>
  </si>
  <si>
    <t>Médailles Collector J'aime Terra Aventura</t>
  </si>
  <si>
    <t xml:space="preserve">Médailles Collector Z'accros </t>
  </si>
  <si>
    <t>Carnet</t>
  </si>
  <si>
    <t>Carnet Beatus</t>
  </si>
  <si>
    <t>Magnet Abbaye</t>
  </si>
  <si>
    <t>Magnet Chalosse Tursan</t>
  </si>
  <si>
    <t>Magnet Sentex</t>
  </si>
  <si>
    <t>Magnet Van Landes</t>
  </si>
  <si>
    <t>Magnet Toro</t>
  </si>
  <si>
    <t>Magnets St Jacques</t>
  </si>
  <si>
    <t>Magnet Crypte</t>
  </si>
  <si>
    <t>Magnet Beatus</t>
  </si>
  <si>
    <t>Tote Bag Marcel Prod</t>
  </si>
  <si>
    <t>Croque Milhoc</t>
  </si>
  <si>
    <t>Bougie</t>
  </si>
  <si>
    <t>Carte à planter</t>
  </si>
  <si>
    <t>Stylo à planter</t>
  </si>
  <si>
    <t>Porte clé</t>
  </si>
  <si>
    <t>Tatouage</t>
  </si>
  <si>
    <t>Tot Bag</t>
  </si>
  <si>
    <t>CP Pastis</t>
  </si>
  <si>
    <t>CP expressions</t>
  </si>
  <si>
    <t>CP Ecarteur</t>
  </si>
  <si>
    <t>CP Bonjour</t>
  </si>
  <si>
    <t>Planche</t>
  </si>
  <si>
    <t>Planche à découper Landes chalosse</t>
  </si>
  <si>
    <t>Le confit c'est pas gras</t>
  </si>
  <si>
    <t>Le Foulard</t>
  </si>
  <si>
    <t>T. SHIRT ENFANT</t>
  </si>
  <si>
    <t>T.SHIRT FEMME</t>
  </si>
  <si>
    <t>T.SHIRT HOMME</t>
  </si>
  <si>
    <t>louconfitcestpasgras@gmail.com</t>
  </si>
  <si>
    <t>Set de Table</t>
  </si>
  <si>
    <t>JL PARRO</t>
  </si>
  <si>
    <t>Bavoir</t>
  </si>
  <si>
    <t>Manique</t>
  </si>
  <si>
    <t>Torchon</t>
  </si>
  <si>
    <t>Tablier</t>
  </si>
  <si>
    <t>Fermiers Landais</t>
  </si>
  <si>
    <t xml:space="preserve">Torchon Rouge </t>
  </si>
  <si>
    <t>05 58 76 42 22</t>
  </si>
  <si>
    <t>Torchon Rose et Gris</t>
  </si>
  <si>
    <t>Corinne Ducourneau</t>
  </si>
  <si>
    <t>Livre de recette</t>
  </si>
  <si>
    <t>Tabliers Rose et Gris</t>
  </si>
  <si>
    <t>Livres, affiche et jeux</t>
  </si>
  <si>
    <t>Cairn Editions</t>
  </si>
  <si>
    <t>Guide patrimonial St Sever</t>
  </si>
  <si>
    <t>St Jacques</t>
  </si>
  <si>
    <t>Livres</t>
  </si>
  <si>
    <t>Livres St Jacques</t>
  </si>
  <si>
    <t>Terres des Landes</t>
  </si>
  <si>
    <t>Hagetmau Crypte</t>
  </si>
  <si>
    <t>Livret Crypte</t>
  </si>
  <si>
    <t>Ici et La reportages</t>
  </si>
  <si>
    <t>Premières courbes</t>
  </si>
  <si>
    <t>Collines de Chalosses</t>
  </si>
  <si>
    <t>Marcel Prod</t>
  </si>
  <si>
    <t>Marcel Productions Affiches</t>
  </si>
  <si>
    <t xml:space="preserve">St Sever </t>
  </si>
  <si>
    <t>Circuit Historique</t>
  </si>
  <si>
    <t>Stock ancien</t>
  </si>
  <si>
    <t>Millénaires de l'abbayes 1998</t>
  </si>
  <si>
    <t xml:space="preserve">Chartes </t>
  </si>
  <si>
    <t>Maison du palmipede</t>
  </si>
  <si>
    <t>Délices de Foie Gras</t>
  </si>
  <si>
    <t>Kilika</t>
  </si>
  <si>
    <t>Coloriage voyage dans les landes</t>
  </si>
  <si>
    <t>3 étoiles</t>
  </si>
  <si>
    <t>Don</t>
  </si>
  <si>
    <t>Geste Edition</t>
  </si>
  <si>
    <t>Jeu de société</t>
  </si>
  <si>
    <t>Haribo et Salsifi</t>
  </si>
  <si>
    <t>Coloriage</t>
  </si>
  <si>
    <t>camp prisonnier Gaujacq</t>
  </si>
  <si>
    <t>Paysage et jardins des Landes</t>
  </si>
  <si>
    <t>Amou une histoire de fleurs</t>
  </si>
  <si>
    <t>Livre sur Geaune</t>
  </si>
  <si>
    <t>Signoret</t>
  </si>
  <si>
    <t>Les Landes en 500 photos</t>
  </si>
  <si>
    <t>Mr Demouge</t>
  </si>
  <si>
    <t>La maison aux tesselles</t>
  </si>
  <si>
    <t>Livre de Luis Auguste Dage</t>
  </si>
  <si>
    <t>BD des Landes</t>
  </si>
  <si>
    <t>Coloriage les Landes Ze Mag</t>
  </si>
  <si>
    <t>Livre Maison Lafitte</t>
  </si>
  <si>
    <t>MSM</t>
  </si>
  <si>
    <t>Livre Art Roman</t>
  </si>
  <si>
    <t>Album à colorier Abbaye</t>
  </si>
  <si>
    <t>Jeu de carte préhistoire</t>
  </si>
  <si>
    <t>Magnet visuel pèlerin</t>
  </si>
  <si>
    <t>Mémo Jeux</t>
  </si>
  <si>
    <t>Livre les Landes de Lumières</t>
  </si>
  <si>
    <t>Livre St Jacques Compostelle</t>
  </si>
  <si>
    <t>Produits beauté</t>
  </si>
  <si>
    <t>Turs ane</t>
  </si>
  <si>
    <t xml:space="preserve">Gel Douche </t>
  </si>
  <si>
    <t>Lait corporel</t>
  </si>
  <si>
    <t>Creme Mains et Pieds</t>
  </si>
  <si>
    <t>05 58 44 56 78</t>
  </si>
  <si>
    <t>Savon à Barbe</t>
  </si>
  <si>
    <t>Lotion</t>
  </si>
  <si>
    <t>Bonbons 100g</t>
  </si>
  <si>
    <t>Savon main</t>
  </si>
  <si>
    <t>Casa Nature</t>
  </si>
  <si>
    <t>Savon Estampillé LC</t>
  </si>
  <si>
    <t>Vieux Stock Amou</t>
  </si>
  <si>
    <t>Api sens</t>
  </si>
  <si>
    <t>creme gant de velours</t>
  </si>
  <si>
    <t>fluide de lumière</t>
  </si>
  <si>
    <t>SOS Apiculteur</t>
  </si>
  <si>
    <t>Les indispensables</t>
  </si>
  <si>
    <t>Pochette découverte</t>
  </si>
  <si>
    <t>Produit cosmétique Brassempouy</t>
  </si>
  <si>
    <t xml:space="preserve">Eclat d'ivoire marque brassempouy 50 ml </t>
  </si>
  <si>
    <t xml:space="preserve">Eclat d'ivoire marque brassempouy 200 ml fleur de coton </t>
  </si>
  <si>
    <t>Petipo de Patapo</t>
  </si>
  <si>
    <t>Déco</t>
  </si>
  <si>
    <t>Bougie 150 ml Jasmin</t>
  </si>
  <si>
    <t>Bougie 190ml Très rose</t>
  </si>
  <si>
    <t>Carte postale</t>
  </si>
  <si>
    <t>Landes Chalosse</t>
  </si>
  <si>
    <t>LC</t>
  </si>
  <si>
    <t>Maynus</t>
  </si>
  <si>
    <t>Orgues</t>
  </si>
  <si>
    <t>Cartes Postales CT</t>
  </si>
  <si>
    <t>L'oiseau</t>
  </si>
  <si>
    <t>Le chapiteau Salomé</t>
  </si>
  <si>
    <t>Chapiteau Oiseau</t>
  </si>
  <si>
    <t>Pimbo</t>
  </si>
  <si>
    <t>Vue aérienne st sever</t>
  </si>
  <si>
    <t>Cloitre mairie st sever</t>
  </si>
  <si>
    <t>3 vues</t>
  </si>
  <si>
    <t>Mosaiques</t>
  </si>
  <si>
    <t>Gratuite</t>
  </si>
  <si>
    <t>Carte Postale A5</t>
  </si>
  <si>
    <t>Carte postale CT</t>
  </si>
  <si>
    <t>Cartes Postales Amou</t>
  </si>
  <si>
    <t>Autres cartes</t>
  </si>
  <si>
    <t>Arènes de Pomarez</t>
  </si>
  <si>
    <t>Pdts souvenirs Amou</t>
  </si>
  <si>
    <t xml:space="preserve">Boucles d'oreilles (CMA) </t>
  </si>
  <si>
    <t>Clé Usb LC</t>
  </si>
  <si>
    <t>Poncho</t>
  </si>
  <si>
    <t>Couteaux MPP</t>
  </si>
  <si>
    <t>Boule à neige arènes pomarez</t>
  </si>
  <si>
    <t>stylo bois</t>
  </si>
  <si>
    <t>Porte clé métal j'aime Amou</t>
  </si>
  <si>
    <t>Porte clé cuir j'aime Amou</t>
  </si>
  <si>
    <t>Magnet cristal Amou que soy</t>
  </si>
  <si>
    <t>Mug multivues</t>
  </si>
  <si>
    <t>Couteau laguiole Landes Chalosse</t>
  </si>
  <si>
    <t>Tablier Amou que soy</t>
  </si>
  <si>
    <t>Livret jeu</t>
  </si>
  <si>
    <t>OT AMOU</t>
  </si>
  <si>
    <t>Tisane</t>
  </si>
  <si>
    <t>CDT</t>
  </si>
  <si>
    <t>Contrat Location CDT</t>
  </si>
  <si>
    <t>Contrat Etats Descriptif</t>
  </si>
  <si>
    <t>Halte Jacquaire</t>
  </si>
  <si>
    <t>Credencial</t>
  </si>
  <si>
    <t>Cartes Postales Musée</t>
  </si>
  <si>
    <t>1- La Mappemonde</t>
  </si>
  <si>
    <t>5 - Venue du Christ</t>
  </si>
  <si>
    <t>6- La femme sur la bête</t>
  </si>
  <si>
    <t>6- La femme sur la b^te</t>
  </si>
  <si>
    <t>7 - Eglise de Philadelphie</t>
  </si>
  <si>
    <t>8 - Les 4 cavaliers</t>
  </si>
  <si>
    <t>10 - Adoration Dieu</t>
  </si>
  <si>
    <t>11 - La Jérusalem</t>
  </si>
  <si>
    <t>12 - Baylone</t>
  </si>
  <si>
    <t>9- Adoration Agneau</t>
  </si>
  <si>
    <t>9 - Adoration Agneau</t>
  </si>
  <si>
    <t>1 livre donné à la dame de Ménage</t>
  </si>
  <si>
    <t>J</t>
  </si>
  <si>
    <t>F</t>
  </si>
  <si>
    <t>M</t>
  </si>
  <si>
    <t>A</t>
  </si>
  <si>
    <t>S</t>
  </si>
  <si>
    <t>O</t>
  </si>
  <si>
    <t>N</t>
  </si>
  <si>
    <t>D</t>
  </si>
  <si>
    <t>Souvenirs</t>
  </si>
  <si>
    <t>Budget</t>
  </si>
  <si>
    <t>Total dépense</t>
  </si>
  <si>
    <t xml:space="preserve">1 ligne de produit est l'ensemble des modèles de références de même nature proposé au sein d'une gamme </t>
  </si>
  <si>
    <t>HAGETMAU 2021</t>
  </si>
  <si>
    <t>GAMME DE PRODUITS</t>
  </si>
  <si>
    <t>PRODUITS (ou fournisseur)</t>
  </si>
  <si>
    <t>REFERENCES</t>
  </si>
  <si>
    <t xml:space="preserve">Tarifs         </t>
  </si>
  <si>
    <t>Nbre de pdt vendu</t>
  </si>
  <si>
    <t>Total ventes Janvier</t>
  </si>
  <si>
    <t>Total ventes Février</t>
  </si>
  <si>
    <t>Total ventes Mars</t>
  </si>
  <si>
    <t>Total ventes Avril</t>
  </si>
  <si>
    <t>Total ventes Mai</t>
  </si>
  <si>
    <t>Total ventes Juin</t>
  </si>
  <si>
    <t>Total ventes Juillet</t>
  </si>
  <si>
    <t>Total ventes Aout</t>
  </si>
  <si>
    <t>Total ventes Septembre</t>
  </si>
  <si>
    <t>Total ventes Octobre</t>
  </si>
  <si>
    <t xml:space="preserve">Nbre de pdt vendu </t>
  </si>
  <si>
    <t>Total ventes Novembre</t>
  </si>
  <si>
    <t>Total ventes Décembre</t>
  </si>
  <si>
    <t>Tarif (Prix d'achat)HT</t>
  </si>
  <si>
    <t>Tarif d'achat TT</t>
  </si>
  <si>
    <t>Taux de TVA</t>
  </si>
  <si>
    <t>Marge Unitaire sur le TTC</t>
  </si>
  <si>
    <t>Bénéfice</t>
  </si>
  <si>
    <t>CA</t>
  </si>
  <si>
    <t>Total ProduitsVendus</t>
  </si>
  <si>
    <t>Stock au 01/01</t>
  </si>
  <si>
    <t>Achat Produit</t>
  </si>
  <si>
    <t xml:space="preserve">Stock </t>
  </si>
  <si>
    <t>Différence entre le stock initial et final</t>
  </si>
  <si>
    <t>Différence entre le total produits vendus et la dif des stocks</t>
  </si>
  <si>
    <t>Stock au 31 décembre 2021</t>
  </si>
  <si>
    <t>Vins et Spiritueux</t>
  </si>
  <si>
    <t>Mignonette Impé rouge</t>
  </si>
  <si>
    <t>Oh palais d'isa</t>
  </si>
  <si>
    <t>Clave de Labouc</t>
  </si>
  <si>
    <t>Floc Rouge</t>
  </si>
  <si>
    <t>Floc Blanc</t>
  </si>
  <si>
    <t>Mignonettes armagnac</t>
  </si>
  <si>
    <t xml:space="preserve">DVD </t>
  </si>
  <si>
    <t>Chrystel OT Amou</t>
  </si>
  <si>
    <t>DVD Courses landaise</t>
  </si>
  <si>
    <t>DV</t>
  </si>
  <si>
    <t>S. Licard</t>
  </si>
  <si>
    <t>DVD Coursayres Sylvie Licard</t>
  </si>
  <si>
    <t>???</t>
  </si>
  <si>
    <t>Gastronomie</t>
  </si>
  <si>
    <t>Miel chataigné</t>
  </si>
  <si>
    <t>Sacs Bleu Marine Landes</t>
  </si>
  <si>
    <t>Sacs Cacharel Bleu Landes</t>
  </si>
  <si>
    <t>Pochette Landes</t>
  </si>
  <si>
    <t>Bougie Croque Milhoc</t>
  </si>
  <si>
    <t>Stylo Hagetmau</t>
  </si>
  <si>
    <t>Elastic / bracelet Cheveux</t>
  </si>
  <si>
    <t>Porte Clé Blason</t>
  </si>
  <si>
    <t>Porte Clé jeton</t>
  </si>
  <si>
    <t>Lot de 6 verres 40</t>
  </si>
  <si>
    <t>Lot de 6 verres Féria</t>
  </si>
  <si>
    <t>Magnet CT</t>
  </si>
  <si>
    <t>Torchon confit pas gras</t>
  </si>
  <si>
    <t>Tablier confit pas gras</t>
  </si>
  <si>
    <t>Kit Cranium</t>
  </si>
  <si>
    <t>Kit Pigments</t>
  </si>
  <si>
    <t>Médailles Brassempouy</t>
  </si>
  <si>
    <t>Chalosse Tursan</t>
  </si>
  <si>
    <t>Gratuité</t>
  </si>
  <si>
    <t xml:space="preserve">Affiche OT </t>
  </si>
  <si>
    <r>
      <rPr>
        <sz val="11"/>
        <rFont val="Arial"/>
        <family val="2"/>
      </rPr>
      <t>Affiche Marcel</t>
    </r>
    <r>
      <rPr>
        <sz val="11"/>
        <color indexed="10"/>
        <rFont val="Arial"/>
        <family val="2"/>
      </rPr>
      <t>*</t>
    </r>
  </si>
  <si>
    <t>Randonées</t>
  </si>
  <si>
    <t>Carte rando</t>
  </si>
  <si>
    <t>N°6</t>
  </si>
  <si>
    <t>N°10 Marsan</t>
  </si>
  <si>
    <t>N°12</t>
  </si>
  <si>
    <t>Piste cyclable Tome 1</t>
  </si>
  <si>
    <t>Piste cyclable Tome 2</t>
  </si>
  <si>
    <t>Livres et jeux</t>
  </si>
  <si>
    <t>Livres St Jacques Compostelle</t>
  </si>
  <si>
    <t>St Sever Cap de Gascogne M. Ferey</t>
  </si>
  <si>
    <t>Livre Crypte St Girons</t>
  </si>
  <si>
    <t>Livre A. Pechou</t>
  </si>
  <si>
    <t>Best Of Michel Guérard</t>
  </si>
  <si>
    <t>Terres des Landes N°9</t>
  </si>
  <si>
    <t>Coloriage Voyage dans les landes</t>
  </si>
  <si>
    <t>Turs'anes</t>
  </si>
  <si>
    <t>Lait corps</t>
  </si>
  <si>
    <t>Api Sens</t>
  </si>
  <si>
    <t>Lot de 2 savons</t>
  </si>
  <si>
    <t xml:space="preserve">OT Aire sur l'Adour </t>
  </si>
  <si>
    <t>Crédential</t>
  </si>
  <si>
    <t xml:space="preserve">Bières </t>
  </si>
  <si>
    <t xml:space="preserve">Micromégas </t>
  </si>
  <si>
    <t>Confit oignon</t>
  </si>
  <si>
    <t xml:space="preserve">Locations </t>
  </si>
  <si>
    <t>Etats descriptifs</t>
  </si>
  <si>
    <t>Contrat Location</t>
  </si>
  <si>
    <t xml:space="preserve">Librairie </t>
  </si>
  <si>
    <t>Mr Signoret</t>
  </si>
  <si>
    <t>Livre Les Landes 500 photos</t>
  </si>
  <si>
    <t xml:space="preserve">Mairie de Geaune </t>
  </si>
  <si>
    <t xml:space="preserve">Pêche </t>
  </si>
  <si>
    <t xml:space="preserve">APA Peche </t>
  </si>
  <si>
    <t>carte pêche interfédérale</t>
  </si>
  <si>
    <t>carte pêche majeure</t>
  </si>
  <si>
    <t>carte pêche mineure</t>
  </si>
  <si>
    <t>carte peche femme</t>
  </si>
  <si>
    <t>carte pêche enfant</t>
  </si>
  <si>
    <t>Timbre Halieuthique</t>
  </si>
  <si>
    <t>Carte pêche semaine</t>
  </si>
  <si>
    <t>Carte pêche journée</t>
  </si>
  <si>
    <t xml:space="preserve">Livre </t>
  </si>
  <si>
    <t>Thibault Toulemonde</t>
  </si>
  <si>
    <t>Les Landes de Lumières</t>
  </si>
  <si>
    <t>Pdts OT</t>
  </si>
  <si>
    <t>Planche à découper</t>
  </si>
  <si>
    <t>Boules Noel</t>
  </si>
  <si>
    <t>1 boule</t>
  </si>
  <si>
    <t>1 SS, 14 Cave, et 39 Hag</t>
  </si>
  <si>
    <t>offre 2 boules</t>
  </si>
  <si>
    <t>offre 3 boules</t>
  </si>
  <si>
    <t>Magnet pigne</t>
  </si>
  <si>
    <t>Magnet St Jacques</t>
  </si>
  <si>
    <t>Magnet Visuel pèlerin</t>
  </si>
  <si>
    <t>Carte Cadeaux</t>
  </si>
  <si>
    <t>Mr Sebie</t>
  </si>
  <si>
    <t>54 cartes landes</t>
  </si>
  <si>
    <t>7 familles préhistoire</t>
  </si>
  <si>
    <t>Total</t>
  </si>
  <si>
    <t>mars</t>
  </si>
  <si>
    <t xml:space="preserve">SAINT SEVER </t>
  </si>
  <si>
    <t xml:space="preserve">Août </t>
  </si>
  <si>
    <t xml:space="preserve">Tarifs        </t>
  </si>
  <si>
    <t>Tarif changé</t>
  </si>
  <si>
    <t>Marge Unitaire</t>
  </si>
  <si>
    <t>Total Produits Vendus</t>
  </si>
  <si>
    <t>Livraison autre boutique</t>
  </si>
  <si>
    <t>Apport des autres boutiques</t>
  </si>
  <si>
    <t>Stock au 31/12/2021</t>
  </si>
  <si>
    <t>GASTRONOMIE LOCALE -Vins et spiritueux</t>
  </si>
  <si>
    <t xml:space="preserve">Gourmandise </t>
  </si>
  <si>
    <t>Colis FG épicuriens</t>
  </si>
  <si>
    <t>Bocal FG 130g</t>
  </si>
  <si>
    <t>Miel de Chataigné</t>
  </si>
  <si>
    <t>Miel d'acacia</t>
  </si>
  <si>
    <t>rendu au 29/05/2021</t>
  </si>
  <si>
    <t xml:space="preserve">Rosé Domaine de Labaigt </t>
  </si>
  <si>
    <t>Rosé Moelleux Impératrice</t>
  </si>
  <si>
    <t>Rosé Moelleux Brin de douceur</t>
  </si>
  <si>
    <t>Blanc Domaine de Labaigt</t>
  </si>
  <si>
    <t>Cap é Tot Blanc Moelleux</t>
  </si>
  <si>
    <t xml:space="preserve"> Moelleux Domaine de Labaigt</t>
  </si>
  <si>
    <t>Rouge impératrice 375 ml</t>
  </si>
  <si>
    <t>Oh palais d'Isa</t>
  </si>
  <si>
    <t>Confitures Agrumes</t>
  </si>
  <si>
    <t>30 pots repris le 09/06/2021</t>
  </si>
  <si>
    <t>Confitures Pina colada</t>
  </si>
  <si>
    <t>Confiture Mirabelle</t>
  </si>
  <si>
    <t>Confitures Fraises</t>
  </si>
  <si>
    <t>Confitures Pastèque Orange</t>
  </si>
  <si>
    <t>Confiture Figues</t>
  </si>
  <si>
    <t>Choco NOUN Crunchy</t>
  </si>
  <si>
    <t>Petit Landais</t>
  </si>
  <si>
    <t>Clavé de Labouc</t>
  </si>
  <si>
    <t>Pente Barenne</t>
  </si>
  <si>
    <t>Barenne</t>
  </si>
  <si>
    <t>Mr Sébie</t>
  </si>
  <si>
    <t>Framboise Tursan pot de 212ml</t>
  </si>
  <si>
    <t>Coffret 3 bouteilles (Pèlerin, Dame et CL)</t>
  </si>
  <si>
    <t>Partenariat OT Marsan</t>
  </si>
  <si>
    <t>Coffret 2 bouteilles</t>
  </si>
  <si>
    <t>Affiche Grand Format</t>
  </si>
  <si>
    <t>Affiche petit format</t>
  </si>
  <si>
    <t>Foulard ville</t>
  </si>
  <si>
    <t>Jeu de cartes normal Landes</t>
  </si>
  <si>
    <t>Jeu de cartes 7 familles préhistoire</t>
  </si>
  <si>
    <t>Sac I Love Landes</t>
  </si>
  <si>
    <t>Sac Landes Bleu Marine</t>
  </si>
  <si>
    <t>Pochette</t>
  </si>
  <si>
    <t>Dé à coudre</t>
  </si>
  <si>
    <t>Stylo bille ( Landes )</t>
  </si>
  <si>
    <t>Stylo St Sever</t>
  </si>
  <si>
    <t>Autocollants St Sever</t>
  </si>
  <si>
    <t>Autocollants Toro</t>
  </si>
  <si>
    <t>Crayon à papier</t>
  </si>
  <si>
    <t>1 Boule Noel</t>
  </si>
  <si>
    <t>Duo Boules Noel</t>
  </si>
  <si>
    <t>Trio Boules de Noel</t>
  </si>
  <si>
    <t>Boule de neige CL</t>
  </si>
  <si>
    <t>Disque de stationnement</t>
  </si>
  <si>
    <t>Carnet Béatus</t>
  </si>
  <si>
    <t>Tote Bag Course Landaise</t>
  </si>
  <si>
    <t>Planche à découper LC</t>
  </si>
  <si>
    <t>Couteau LC</t>
  </si>
  <si>
    <t>Stylo LC</t>
  </si>
  <si>
    <t>Clé USB</t>
  </si>
  <si>
    <t>Médailles Collector 25 J'aime Terra Aventura</t>
  </si>
  <si>
    <t>Magnet Amou que Soy</t>
  </si>
  <si>
    <t>Peluche Renne</t>
  </si>
  <si>
    <t>Peluche Renard Blanc</t>
  </si>
  <si>
    <t>Course landaise</t>
  </si>
  <si>
    <t>Magnet Ecarteur/Sauteur FD</t>
  </si>
  <si>
    <t>Tote bag CL</t>
  </si>
  <si>
    <t>Décapsuleur FD</t>
  </si>
  <si>
    <t>Porte Clé archéoparc</t>
  </si>
  <si>
    <t xml:space="preserve">Kit peinture </t>
  </si>
  <si>
    <t>Kit Pigment</t>
  </si>
  <si>
    <t>CP Mastaba</t>
  </si>
  <si>
    <t>CP Archéoparc</t>
  </si>
  <si>
    <t>Kit gravures</t>
  </si>
  <si>
    <t>Kit sculpture</t>
  </si>
  <si>
    <t>Magnet Dame</t>
  </si>
  <si>
    <t>Le Confit C'est Pas Gras</t>
  </si>
  <si>
    <t>T.Shirt Homme</t>
  </si>
  <si>
    <t>T.Shirt Femme</t>
  </si>
  <si>
    <t>T.Shirt Enfant</t>
  </si>
  <si>
    <t>Foulard</t>
  </si>
  <si>
    <t>Pdts St Sever Fermiers Landais</t>
  </si>
  <si>
    <t>Tablier St Sever rose et gris</t>
  </si>
  <si>
    <t>Torchon rose et Gris</t>
  </si>
  <si>
    <t>Torchon bordeaux et blanc</t>
  </si>
  <si>
    <t>Cartes Postales</t>
  </si>
  <si>
    <t>Béatus</t>
  </si>
  <si>
    <t>A5 Béatus</t>
  </si>
  <si>
    <t>Sentex</t>
  </si>
  <si>
    <t>Cartes de randonnées</t>
  </si>
  <si>
    <t>N°11 Morcenx</t>
  </si>
  <si>
    <t>Piste cyclable Tome 1 jaune</t>
  </si>
  <si>
    <t>Piste cyclable Tome 2 violet</t>
  </si>
  <si>
    <t>Livres, affiches, jeux et coloriages</t>
  </si>
  <si>
    <t>Les itinéraires</t>
  </si>
  <si>
    <t>Editions Gascogne</t>
  </si>
  <si>
    <t>L'assassin était St Severin</t>
  </si>
  <si>
    <t>Livre Recette Festin de volailles</t>
  </si>
  <si>
    <t>St Sever Cap de Gascogne Marie Ferey</t>
  </si>
  <si>
    <t>Affiche Marie Ferey</t>
  </si>
  <si>
    <t xml:space="preserve">Terres des Landes </t>
  </si>
  <si>
    <t>Premières Courbes</t>
  </si>
  <si>
    <t>Les Collines de Chalosse</t>
  </si>
  <si>
    <t>Les contes et récits de l'Adour</t>
  </si>
  <si>
    <t xml:space="preserve">Les affamés </t>
  </si>
  <si>
    <t>Au service du palais Vaussion</t>
  </si>
  <si>
    <t>Le Chef des Chefs</t>
  </si>
  <si>
    <t>Délices de Foie Gras/ Poulest en libertés</t>
  </si>
  <si>
    <t>Kit de survie en pays Gascon</t>
  </si>
  <si>
    <t>Coloriage Les Landes Ze mag</t>
  </si>
  <si>
    <t>Coloriage à l'Abbaye</t>
  </si>
  <si>
    <t>Roman Moi et les Miens</t>
  </si>
  <si>
    <t>Affiche Marcel Prod</t>
  </si>
  <si>
    <t>Livre Les Landes en 500 photos</t>
  </si>
  <si>
    <t>Maisonneuve Sofi</t>
  </si>
  <si>
    <t>Roman C'était Mieux demain</t>
  </si>
  <si>
    <t>Société ADIR</t>
  </si>
  <si>
    <t>Livre de Louis Auguste Dage</t>
  </si>
  <si>
    <t>Livre Geaune</t>
  </si>
  <si>
    <t>Les Landes de Lumière</t>
  </si>
  <si>
    <t>Laurent Signoret</t>
  </si>
  <si>
    <t xml:space="preserve">Livre Maison Lafitte </t>
  </si>
  <si>
    <t>Demouge</t>
  </si>
  <si>
    <t>Geste Editions</t>
  </si>
  <si>
    <t>Album</t>
  </si>
  <si>
    <t>Produits Beauté</t>
  </si>
  <si>
    <t>Turs'ane</t>
  </si>
  <si>
    <t>Gel Douche</t>
  </si>
  <si>
    <t>Lait corporel 50%</t>
  </si>
  <si>
    <t>périmées</t>
  </si>
  <si>
    <t>Crème main</t>
  </si>
  <si>
    <t>Crème main 50%</t>
  </si>
  <si>
    <t>Savon à barbe</t>
  </si>
  <si>
    <t>Bonbons</t>
  </si>
  <si>
    <t>10 périmées</t>
  </si>
  <si>
    <t>Lotions</t>
  </si>
  <si>
    <t>Exfoliant Abricot</t>
  </si>
  <si>
    <t xml:space="preserve">Savon à main </t>
  </si>
  <si>
    <t>Petipot de Patapo</t>
  </si>
  <si>
    <t>Bougie Jasmin 150ML</t>
  </si>
  <si>
    <t>Bougie Rose 190ML</t>
  </si>
  <si>
    <t xml:space="preserve">Pochettes les indispensables </t>
  </si>
  <si>
    <t>Petit sachet Tisane</t>
  </si>
  <si>
    <t>Livret Jeu</t>
  </si>
  <si>
    <t>GASTRONOMIE LOCALE</t>
  </si>
  <si>
    <t>Rillette</t>
  </si>
  <si>
    <t>FG</t>
  </si>
  <si>
    <t>Ferme du Chay</t>
  </si>
  <si>
    <t>Paté FG</t>
  </si>
  <si>
    <t>Gesiers</t>
  </si>
  <si>
    <t>Cous Farcis</t>
  </si>
  <si>
    <t>2 boites périmées en mars 2021 non vendues</t>
  </si>
  <si>
    <t xml:space="preserve">Pelerins </t>
  </si>
  <si>
    <t>Crédencial</t>
  </si>
  <si>
    <t xml:space="preserve">Papeterie </t>
  </si>
  <si>
    <t>Carte postale  Musée</t>
  </si>
  <si>
    <t>1 - La mappemonde</t>
  </si>
  <si>
    <t>6- La Femme sur la bête</t>
  </si>
  <si>
    <t>11- La Jérusalem</t>
  </si>
  <si>
    <t>12- Babylone</t>
  </si>
  <si>
    <t>Micromégas</t>
  </si>
  <si>
    <t>Golden Ale 33cl</t>
  </si>
  <si>
    <t>Irish Scout  33cl</t>
  </si>
  <si>
    <t>Resptilian Ipa  33cl</t>
  </si>
  <si>
    <t>Saison  33cl</t>
  </si>
  <si>
    <t>Witbier  33cl</t>
  </si>
  <si>
    <t>4 périmées et jetées le 03/05/2021</t>
  </si>
  <si>
    <t>revendu à l'unite car bière périmées à l'intérieur</t>
  </si>
  <si>
    <t>Vinaigre de Malt</t>
  </si>
  <si>
    <t>Location</t>
  </si>
  <si>
    <t>Carte Postale Ecarteur</t>
  </si>
  <si>
    <t>Carte Postale Bonjour</t>
  </si>
  <si>
    <t>Carte Postale Hello From Landes</t>
  </si>
  <si>
    <t>Carte Postale Pastis</t>
  </si>
  <si>
    <t>Carte Postale Expressions Landaises</t>
  </si>
  <si>
    <t>Tatouages</t>
  </si>
  <si>
    <t>Porte Clés Bouchon</t>
  </si>
  <si>
    <t>encaissé 02/02/21</t>
  </si>
  <si>
    <t>j</t>
  </si>
  <si>
    <t>encaissé le 01/03/2021</t>
  </si>
  <si>
    <t>f</t>
  </si>
  <si>
    <t>m</t>
  </si>
  <si>
    <t>a</t>
  </si>
  <si>
    <t>jl</t>
  </si>
  <si>
    <t>s</t>
  </si>
  <si>
    <t>o</t>
  </si>
  <si>
    <t>n</t>
  </si>
  <si>
    <t>d</t>
  </si>
  <si>
    <t>Don pour recette confit oignon, mignonette</t>
  </si>
  <si>
    <t>Don pour loterie Don du sang Mug, Carnet et stylo</t>
  </si>
  <si>
    <t>AMOU</t>
  </si>
  <si>
    <t>Tarifs          ( Prix de ventes) SPL</t>
  </si>
  <si>
    <t>Tarif achat  (HT)</t>
  </si>
  <si>
    <t>Stock au 31/12/2020</t>
  </si>
  <si>
    <t>Stock au 15/04/2021</t>
  </si>
  <si>
    <t>Cave coopérative Tursan</t>
  </si>
  <si>
    <t>Tursan rosé impératrice</t>
  </si>
  <si>
    <t>Tursan rouge Impératrice</t>
  </si>
  <si>
    <t>Tursan moelleux de la Dame</t>
  </si>
  <si>
    <t>Bourda</t>
  </si>
  <si>
    <t>Secret d'éugénie</t>
  </si>
  <si>
    <t>POM d'Amou</t>
  </si>
  <si>
    <t>Vinaigre de cidre baby kiwi 20 cl</t>
  </si>
  <si>
    <t>DLC 03/2021</t>
  </si>
  <si>
    <t>retirerdustock le 06/04/2021 car DLC passé</t>
  </si>
  <si>
    <t>jus de fruit Nectar baby kiwi</t>
  </si>
  <si>
    <t>DLC 01/2021</t>
  </si>
  <si>
    <t>retirer du stock le 06/04/2021 car dlc passé</t>
  </si>
  <si>
    <t>retirer du stock le 06/04/2021 car DLC passé</t>
  </si>
  <si>
    <t>DLC 2022</t>
  </si>
  <si>
    <r>
      <rPr>
        <b/>
        <sz val="11"/>
        <color indexed="57"/>
        <rFont val="Arial"/>
        <family val="2"/>
      </rPr>
      <t>Oh palais d'Isa</t>
    </r>
    <r>
      <rPr>
        <b/>
        <sz val="11"/>
        <color indexed="10"/>
        <rFont val="Arial"/>
        <family val="2"/>
      </rPr>
      <t xml:space="preserve"> </t>
    </r>
  </si>
  <si>
    <t xml:space="preserve">Fraise </t>
  </si>
  <si>
    <t>Pastèque orange</t>
  </si>
  <si>
    <t xml:space="preserve">sachet découverte tisane </t>
  </si>
  <si>
    <t>Tisane de la Dame (150 gr)</t>
  </si>
  <si>
    <t>vrac 1400 grs</t>
  </si>
  <si>
    <t>BOULES DE NOEL</t>
  </si>
  <si>
    <t xml:space="preserve">Boule Hagetmau </t>
  </si>
  <si>
    <t>Boule Saint Sever</t>
  </si>
  <si>
    <t>Boule Tursan</t>
  </si>
  <si>
    <t>N°5</t>
  </si>
  <si>
    <t xml:space="preserve">réapprovisionnement </t>
  </si>
  <si>
    <t>N°7</t>
  </si>
  <si>
    <t>Pistes cyclables Voie+D28:E66 Verte Tome 2</t>
  </si>
  <si>
    <t>DVD</t>
  </si>
  <si>
    <t xml:space="preserve">DVD Course Landaise Version 2 </t>
  </si>
  <si>
    <t>CD</t>
  </si>
  <si>
    <t>Harmonie Pomarez 1 Amalgamme</t>
  </si>
  <si>
    <t>Harmonie Pomarez 2 - musicornes</t>
  </si>
  <si>
    <t>Maison et ArchéoParc de la Dame</t>
  </si>
  <si>
    <t>peluche mammouth</t>
  </si>
  <si>
    <t>Peluche renard arctique</t>
  </si>
  <si>
    <t>carnet magnétique</t>
  </si>
  <si>
    <t>Porte Clés cromagnon</t>
  </si>
  <si>
    <t>Porte Clés de la Dame</t>
  </si>
  <si>
    <t xml:space="preserve">Kit parure </t>
  </si>
  <si>
    <t xml:space="preserve">béret de la dame </t>
  </si>
  <si>
    <t>collier de la dame</t>
  </si>
  <si>
    <t>Jeux mémolos</t>
  </si>
  <si>
    <t>bague en bois</t>
  </si>
  <si>
    <t>Magnets memolos</t>
  </si>
  <si>
    <t xml:space="preserve">Mammouth figurine </t>
  </si>
  <si>
    <t xml:space="preserve">Stylo bois de la dame </t>
  </si>
  <si>
    <t>Crayon papier prehistosite</t>
  </si>
  <si>
    <t xml:space="preserve">Mug figurine </t>
  </si>
  <si>
    <t>Figurine de la dame avec socle</t>
  </si>
  <si>
    <t>Figurine de la dame sans socle</t>
  </si>
  <si>
    <t>CP Maison dame + village</t>
  </si>
  <si>
    <t>CP maison dame + animaux</t>
  </si>
  <si>
    <t>Les jeux (gisserot)</t>
  </si>
  <si>
    <t xml:space="preserve">Si j'étais un homme préhistorique </t>
  </si>
  <si>
    <t>Livre  collection Silex and the city</t>
  </si>
  <si>
    <t xml:space="preserve">CBOCA </t>
  </si>
  <si>
    <t>bague dame</t>
  </si>
  <si>
    <t>Asso fêtes Pomarez</t>
  </si>
  <si>
    <t xml:space="preserve">Lou Confit </t>
  </si>
  <si>
    <r>
      <rPr>
        <b/>
        <sz val="11"/>
        <color indexed="53"/>
        <rFont val="Arial"/>
        <family val="2"/>
      </rPr>
      <t>Société Borda (</t>
    </r>
    <r>
      <rPr>
        <b/>
        <sz val="11"/>
        <color indexed="10"/>
        <rFont val="Arial"/>
        <family val="2"/>
      </rPr>
      <t>dépôt vente</t>
    </r>
    <r>
      <rPr>
        <b/>
        <sz val="11"/>
        <color indexed="53"/>
        <rFont val="Arial"/>
        <family val="2"/>
      </rPr>
      <t xml:space="preserve">) </t>
    </r>
  </si>
  <si>
    <t>Mairie Amou</t>
  </si>
  <si>
    <t>Les Landes</t>
  </si>
  <si>
    <t>CASA NATURE</t>
  </si>
  <si>
    <t>Savon estampillés Landes Chalosse</t>
  </si>
  <si>
    <t>API SENS</t>
  </si>
  <si>
    <t>Pochette les indispensables</t>
  </si>
  <si>
    <t>Pomarez</t>
  </si>
  <si>
    <t>Arenes Pomarez</t>
  </si>
  <si>
    <t>Autres</t>
  </si>
  <si>
    <t xml:space="preserve">Autres </t>
  </si>
  <si>
    <r>
      <rPr>
        <b/>
        <sz val="11"/>
        <color indexed="53"/>
        <rFont val="Arial"/>
        <family val="2"/>
      </rPr>
      <t>CMA (</t>
    </r>
    <r>
      <rPr>
        <b/>
        <sz val="11"/>
        <color indexed="10"/>
        <rFont val="Arial"/>
        <family val="2"/>
      </rPr>
      <t>dépôt vente</t>
    </r>
    <r>
      <rPr>
        <b/>
        <sz val="11"/>
        <color indexed="53"/>
        <rFont val="Arial"/>
        <family val="2"/>
      </rPr>
      <t>)</t>
    </r>
  </si>
  <si>
    <t>Boucles d'oreilles</t>
  </si>
  <si>
    <t>Chambre agriculture</t>
  </si>
  <si>
    <t>Esterel valloire</t>
  </si>
  <si>
    <t>TERRA AVENTURA</t>
  </si>
  <si>
    <t>Turs'ânes</t>
  </si>
  <si>
    <t>Lotion nettoyante fraicheur</t>
  </si>
  <si>
    <t>Vinaigre de bieres</t>
  </si>
  <si>
    <t xml:space="preserve">Saison </t>
  </si>
  <si>
    <t>Golden</t>
  </si>
  <si>
    <t>Framboises Tursan</t>
  </si>
  <si>
    <t>Bocal Framboises eau de vie</t>
  </si>
  <si>
    <t>Oléandes</t>
  </si>
  <si>
    <t>Huile Colza bio</t>
  </si>
  <si>
    <t>Huile Tournesol bio</t>
  </si>
  <si>
    <t>Porte clés Bouchon</t>
  </si>
  <si>
    <t>Carte postale Parler Landais</t>
  </si>
  <si>
    <t>Carte postale Ecarteur</t>
  </si>
  <si>
    <t>Carte postale Pastis</t>
  </si>
  <si>
    <t>Carte postale Bonjour</t>
  </si>
  <si>
    <t>Crayon à planter</t>
  </si>
  <si>
    <t>Bougies</t>
  </si>
  <si>
    <t>N°8</t>
  </si>
  <si>
    <t>Thoaund</t>
  </si>
  <si>
    <t>Miel Chataignier</t>
  </si>
  <si>
    <t>Miel Acacia</t>
  </si>
  <si>
    <t>Affiche LC</t>
  </si>
  <si>
    <t>Ferme Clavé de Labouc</t>
  </si>
  <si>
    <t xml:space="preserve">Floc Rouge </t>
  </si>
  <si>
    <t>REF n°</t>
  </si>
  <si>
    <t>Tarifs          ( Prix de ventes) SPA</t>
  </si>
  <si>
    <t>G001</t>
  </si>
  <si>
    <t>G002</t>
  </si>
  <si>
    <t>Confit de canard 620 gr</t>
  </si>
  <si>
    <t>G003</t>
  </si>
  <si>
    <t>G004</t>
  </si>
  <si>
    <t>G005</t>
  </si>
  <si>
    <t>G006</t>
  </si>
  <si>
    <t>Miel d'acacia 500 gr</t>
  </si>
  <si>
    <t>G007</t>
  </si>
  <si>
    <t>Cave Tursan</t>
  </si>
  <si>
    <t>Collection 3 bouteilles (Pèlerin, Dame et CL)</t>
  </si>
  <si>
    <t>G008</t>
  </si>
  <si>
    <t>Tursan rosé compostelle 75 cl</t>
  </si>
  <si>
    <t>G009</t>
  </si>
  <si>
    <t>Tursan rouge course landaise 75 cl</t>
  </si>
  <si>
    <t>G010</t>
  </si>
  <si>
    <t>Tursan blanc moelleux dame 75 cl</t>
  </si>
  <si>
    <t>G011</t>
  </si>
  <si>
    <t>Karablanche 250 ml</t>
  </si>
  <si>
    <t>G012</t>
  </si>
  <si>
    <t>Domaine Labouc</t>
  </si>
  <si>
    <t>Floc Rouge 75 cl</t>
  </si>
  <si>
    <t>G013</t>
  </si>
  <si>
    <t>Floc Blanc 75 cl</t>
  </si>
  <si>
    <t>G014</t>
  </si>
  <si>
    <t>G015</t>
  </si>
  <si>
    <t>G016</t>
  </si>
  <si>
    <t>G017</t>
  </si>
  <si>
    <t>G018</t>
  </si>
  <si>
    <t>G019</t>
  </si>
  <si>
    <t>Lot de 5 bouteilles</t>
  </si>
  <si>
    <t>G020</t>
  </si>
  <si>
    <t>Vinaigre de Malt 50 cl</t>
  </si>
  <si>
    <t>G021</t>
  </si>
  <si>
    <t>Barenne 75 cl</t>
  </si>
  <si>
    <t>G022</t>
  </si>
  <si>
    <t>G023</t>
  </si>
  <si>
    <t>G024</t>
  </si>
  <si>
    <t>G025</t>
  </si>
  <si>
    <t>G026</t>
  </si>
  <si>
    <t>G027</t>
  </si>
  <si>
    <t>G028</t>
  </si>
  <si>
    <t>G029</t>
  </si>
  <si>
    <t>G030</t>
  </si>
  <si>
    <t>G031</t>
  </si>
  <si>
    <t>Ferme du chay</t>
  </si>
  <si>
    <t>G032</t>
  </si>
  <si>
    <t>Estelle valloire</t>
  </si>
  <si>
    <t>G033</t>
  </si>
  <si>
    <t>LC001</t>
  </si>
  <si>
    <t>LC002</t>
  </si>
  <si>
    <t>LC003</t>
  </si>
  <si>
    <t>LC004</t>
  </si>
  <si>
    <t>LC005</t>
  </si>
  <si>
    <t>LC006</t>
  </si>
  <si>
    <t>LC007</t>
  </si>
  <si>
    <t>LC008</t>
  </si>
  <si>
    <t>LC009</t>
  </si>
  <si>
    <t>LC010</t>
  </si>
  <si>
    <t>LC011</t>
  </si>
  <si>
    <t>LC012</t>
  </si>
  <si>
    <t>Stylo LC + clé USB</t>
  </si>
  <si>
    <t>LC013</t>
  </si>
  <si>
    <t>LC014</t>
  </si>
  <si>
    <t>LC015</t>
  </si>
  <si>
    <t>Magnet Gaujacq</t>
  </si>
  <si>
    <t>LC016</t>
  </si>
  <si>
    <t>LC017</t>
  </si>
  <si>
    <t>LC018</t>
  </si>
  <si>
    <t>LC019</t>
  </si>
  <si>
    <t>LC020</t>
  </si>
  <si>
    <t>Hagetmau</t>
  </si>
  <si>
    <t xml:space="preserve">lot 6 verres feria </t>
  </si>
  <si>
    <t>LC021</t>
  </si>
  <si>
    <t>lot 6 verres "40"</t>
  </si>
  <si>
    <t>LC022</t>
  </si>
  <si>
    <t>LC023</t>
  </si>
  <si>
    <t>LC024</t>
  </si>
  <si>
    <t>LC025</t>
  </si>
  <si>
    <t>Maison Dame</t>
  </si>
  <si>
    <t>LC026</t>
  </si>
  <si>
    <t>LC027</t>
  </si>
  <si>
    <t>LC028</t>
  </si>
  <si>
    <t>LC029</t>
  </si>
  <si>
    <t>LC030</t>
  </si>
  <si>
    <t>LC031</t>
  </si>
  <si>
    <t>LC032</t>
  </si>
  <si>
    <t>LC033</t>
  </si>
  <si>
    <t>LC034</t>
  </si>
  <si>
    <t>Carte à planter + Stylo à planter</t>
  </si>
  <si>
    <t>LC035</t>
  </si>
  <si>
    <t>LC036</t>
  </si>
  <si>
    <t>Confit c'est pas gras</t>
  </si>
  <si>
    <t>LC037</t>
  </si>
  <si>
    <t>Textiles</t>
  </si>
  <si>
    <t>T001</t>
  </si>
  <si>
    <t>T002</t>
  </si>
  <si>
    <t>T003</t>
  </si>
  <si>
    <t>T004</t>
  </si>
  <si>
    <t>T005</t>
  </si>
  <si>
    <t>Cartes Postales - carte randonnées - papeterie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</si>
  <si>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</si>
  <si>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</si>
  <si>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</si>
  <si>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</si>
  <si>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</si>
  <si>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</si>
  <si>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</si>
  <si>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</si>
  <si>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</si>
  <si>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</si>
  <si>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</si>
  <si>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</si>
  <si>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</si>
  <si>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</si>
  <si>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</si>
  <si>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</si>
  <si>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</si>
  <si>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</si>
  <si>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</si>
  <si>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</si>
  <si>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</si>
  <si>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</si>
  <si>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P023</t>
  </si>
  <si>
    <t>P024</t>
  </si>
  <si>
    <t>P025</t>
  </si>
  <si>
    <t>P026</t>
  </si>
  <si>
    <t>Cosmétiques</t>
  </si>
  <si>
    <t>C001</t>
  </si>
  <si>
    <t>Apisens</t>
  </si>
  <si>
    <t>Trousse "les indispensables"</t>
  </si>
  <si>
    <t>C002</t>
  </si>
  <si>
    <t>Turs'âne</t>
  </si>
  <si>
    <t>Lait corporel 250 ml</t>
  </si>
  <si>
    <t>C003</t>
  </si>
  <si>
    <t>Savon à barbe 50 gr</t>
  </si>
  <si>
    <t>C004</t>
  </si>
  <si>
    <t xml:space="preserve">Savon à main 100 gr </t>
  </si>
  <si>
    <t>C005</t>
  </si>
  <si>
    <t>Gel 200ml</t>
  </si>
  <si>
    <t>C006</t>
  </si>
  <si>
    <t>C007</t>
  </si>
  <si>
    <t>Douceurs de miel</t>
  </si>
  <si>
    <t>C008</t>
  </si>
  <si>
    <t>Stick lèvres</t>
  </si>
  <si>
    <t>C009</t>
  </si>
  <si>
    <t>Pochettes découverte</t>
  </si>
  <si>
    <t>MUSEE JACOBINS</t>
  </si>
  <si>
    <t xml:space="preserve">Tarifs          ( Prix de ventes) </t>
  </si>
  <si>
    <t>Total ventes Juillet au 10/07 inclus</t>
  </si>
  <si>
    <t>Tarif (Prix d'achat) HT</t>
  </si>
  <si>
    <t>Tarif d'achat TTC</t>
  </si>
  <si>
    <t>Stock au 05/07/2021</t>
  </si>
  <si>
    <t>Réassort</t>
  </si>
  <si>
    <t>Reste en Stock</t>
  </si>
  <si>
    <t>Librairie</t>
  </si>
  <si>
    <t>Marie Ferey St Sever</t>
  </si>
  <si>
    <t>Circuit historique</t>
  </si>
  <si>
    <t>Millénaires</t>
  </si>
  <si>
    <t xml:space="preserve">Livre Art </t>
  </si>
  <si>
    <t>Livre Chartes</t>
  </si>
  <si>
    <t>Livre St Jacques</t>
  </si>
  <si>
    <t>Thouand</t>
  </si>
  <si>
    <t>Jeux de cartes</t>
  </si>
  <si>
    <t>Crayon papier</t>
  </si>
  <si>
    <t>Dé</t>
  </si>
  <si>
    <t>Cartes postales</t>
  </si>
  <si>
    <t>Chapiteau Salomé</t>
  </si>
  <si>
    <t>6- La Femme et la bête</t>
  </si>
  <si>
    <t>Savons</t>
  </si>
  <si>
    <t>Confiture Palais d'Isa Fraise</t>
  </si>
  <si>
    <t>Confiture Palais d'Isa Figue</t>
  </si>
  <si>
    <t>Confiture Palais d'Isa Pastèque Orange</t>
  </si>
  <si>
    <t>P'Tit Landais</t>
  </si>
  <si>
    <t>Chocolat noir</t>
  </si>
  <si>
    <t>Framboises du Tursan</t>
  </si>
  <si>
    <t>Framboises</t>
  </si>
  <si>
    <t>Petits Souvenirs</t>
  </si>
  <si>
    <t>Magnet st jacques</t>
  </si>
  <si>
    <t>Magnet Béatus</t>
  </si>
  <si>
    <t>Magnet Van</t>
  </si>
  <si>
    <t>Boule de Noel St Sever</t>
  </si>
  <si>
    <t>Pochette landes</t>
  </si>
  <si>
    <t>Torchons Rose et Gris</t>
  </si>
  <si>
    <t>Memo jeux</t>
  </si>
  <si>
    <t>Boules de noel</t>
  </si>
  <si>
    <t>Affiche CT</t>
  </si>
  <si>
    <t>Tote Bag Croque Milhoc</t>
  </si>
  <si>
    <t xml:space="preserve">Jeu de carte préhistoire </t>
  </si>
  <si>
    <t>Carte postale A5</t>
  </si>
  <si>
    <t>VG PT</t>
  </si>
  <si>
    <t>VG Réduit</t>
  </si>
  <si>
    <t>VG Gratuit</t>
  </si>
  <si>
    <t>versé le 12/07/2021</t>
  </si>
  <si>
    <t>MUSEE SAMADET</t>
  </si>
  <si>
    <t>Total ventes Juin-Juillet</t>
  </si>
  <si>
    <t>Tarif (Prix d'achat)</t>
  </si>
  <si>
    <t>Stock au 14/06/2021</t>
  </si>
  <si>
    <t>Chalosse Distribution</t>
  </si>
  <si>
    <t>Vin Rouge Impératrice</t>
  </si>
  <si>
    <t>Vin Rosé Impératrice</t>
  </si>
  <si>
    <t>Vin blanc Sec Impératrice</t>
  </si>
  <si>
    <t>Cap et Tot</t>
  </si>
  <si>
    <t xml:space="preserve">Mignonette rouge </t>
  </si>
  <si>
    <t>Vin Rosé Meolleux Impératrice</t>
  </si>
  <si>
    <t>Bavoirs</t>
  </si>
  <si>
    <t xml:space="preserve">Coloriage Landes </t>
  </si>
  <si>
    <t>3 Etoiles</t>
  </si>
  <si>
    <t>La Maison aux tesselles</t>
  </si>
  <si>
    <t>Bastide de Geaune</t>
  </si>
  <si>
    <t>Jeux de cartes 7 familles Préhistoire</t>
  </si>
  <si>
    <t>Jeux de cartes 54 cartes</t>
  </si>
  <si>
    <t>Clavé Labouc</t>
  </si>
  <si>
    <t>Laits Corporel</t>
  </si>
  <si>
    <t>Creme Main</t>
  </si>
  <si>
    <t>Exfoliants Abricot</t>
  </si>
  <si>
    <t>Lait corp</t>
  </si>
  <si>
    <t>(5 jasmin, 5 verveine, 5 coton, 5 miel, 5 raisin)</t>
  </si>
  <si>
    <t>Rillettes</t>
  </si>
  <si>
    <t>Patés</t>
  </si>
  <si>
    <t>Pente de Barennes</t>
  </si>
  <si>
    <t>AOC TURSAN</t>
  </si>
  <si>
    <t>CDT/Rando</t>
  </si>
  <si>
    <t>Affiche Marcel</t>
  </si>
  <si>
    <t>Boule de Noel</t>
  </si>
  <si>
    <t>Pochettes landes</t>
  </si>
  <si>
    <t>Magnet St Jacque de Compostelle</t>
  </si>
  <si>
    <t>Tote bag croque Milhoc</t>
  </si>
  <si>
    <t>Tatouages Croque Milhoc</t>
  </si>
  <si>
    <t>Crayons papiers</t>
  </si>
  <si>
    <t>Stylos Landes</t>
  </si>
  <si>
    <t>Huile tournesol</t>
  </si>
  <si>
    <t>Huile Colza</t>
  </si>
  <si>
    <t>P'tit Landais</t>
  </si>
  <si>
    <t>Framboise Tursan</t>
  </si>
  <si>
    <t>Jardin Berdin</t>
  </si>
  <si>
    <t>Miel chataignier</t>
  </si>
  <si>
    <t>CRYPTE HAGETMAU</t>
  </si>
  <si>
    <t xml:space="preserve"> Août</t>
  </si>
  <si>
    <t>Tarifs          ( Prix de ventes)</t>
  </si>
  <si>
    <t>Livre Crypte</t>
  </si>
  <si>
    <t>A. Pechou</t>
  </si>
  <si>
    <t>Carte Postale</t>
  </si>
  <si>
    <t>Cartes postales non détaillées</t>
  </si>
  <si>
    <t>chalosse tursan</t>
  </si>
  <si>
    <t>Magnet crypte</t>
  </si>
  <si>
    <t>CAVE GEAUNE</t>
  </si>
  <si>
    <t>Livre</t>
  </si>
  <si>
    <t>Medailles Terra Aventura</t>
  </si>
  <si>
    <t>Medailles 25</t>
  </si>
  <si>
    <t>Différence 2021/2020</t>
  </si>
  <si>
    <t>Total des ventes</t>
  </si>
  <si>
    <t>vente juin et juillet mélangé pour samadet Comptabilisé en juillet</t>
  </si>
  <si>
    <t>TOTAL</t>
  </si>
  <si>
    <t>été 2013</t>
  </si>
  <si>
    <t>été 2014</t>
  </si>
  <si>
    <t>été 2015</t>
  </si>
  <si>
    <t>été 2016</t>
  </si>
  <si>
    <t>été 2017</t>
  </si>
  <si>
    <t>eté 2018</t>
  </si>
  <si>
    <t>été 2019</t>
  </si>
  <si>
    <t>été 2020</t>
  </si>
  <si>
    <t>différence été</t>
  </si>
</sst>
</file>

<file path=xl/styles.xml><?xml version="1.0" encoding="utf-8"?>
<styleSheet xmlns="http://schemas.openxmlformats.org/spreadsheetml/2006/main">
  <numFmts count="22">
    <numFmt numFmtId="164" formatCode="General"/>
    <numFmt numFmtId="165" formatCode="_-* #,##0.00&quot; €&quot;_-;\-* #,##0.00&quot; €&quot;_-;_-* \-??&quot; €&quot;_-;_-@_-"/>
    <numFmt numFmtId="166" formatCode="[$-40C]mmm\-yy"/>
    <numFmt numFmtId="167" formatCode="#,##0.00&quot; €&quot;"/>
    <numFmt numFmtId="168" formatCode="0\ %"/>
    <numFmt numFmtId="169" formatCode="0.0%"/>
    <numFmt numFmtId="170" formatCode="#,##0\ _€"/>
    <numFmt numFmtId="171" formatCode="General"/>
    <numFmt numFmtId="172" formatCode="#,##0.00&quot; €&quot;;[RED]\-#,##0.00&quot; €&quot;"/>
    <numFmt numFmtId="173" formatCode="#,##0.00"/>
    <numFmt numFmtId="174" formatCode="[$-40C]#,##0\ _€;[RED]\-#,##0\ _€"/>
    <numFmt numFmtId="175" formatCode="#,##0.0000&quot; €&quot;"/>
    <numFmt numFmtId="176" formatCode="#,##0.000&quot; €&quot;"/>
    <numFmt numFmtId="177" formatCode="0"/>
    <numFmt numFmtId="178" formatCode="[$-40C]dd\-mmm"/>
    <numFmt numFmtId="179" formatCode="#,##0"/>
    <numFmt numFmtId="180" formatCode="#,##0&quot; €&quot;;[RED]\-#,##0&quot; €&quot;"/>
    <numFmt numFmtId="181" formatCode="#,##0.00&quot; €&quot;;[RED]#,##0.00&quot; €&quot;"/>
    <numFmt numFmtId="182" formatCode="#,##0.00&quot; €&quot;;\-#,##0.00&quot; €&quot;"/>
    <numFmt numFmtId="183" formatCode="0.00\ %"/>
    <numFmt numFmtId="184" formatCode="@"/>
    <numFmt numFmtId="185" formatCode="0.00"/>
  </numFmts>
  <fonts count="57">
    <font>
      <sz val="10"/>
      <name val="Arial"/>
      <family val="0"/>
    </font>
    <font>
      <sz val="2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i/>
      <sz val="14"/>
      <color indexed="10"/>
      <name val="Arial"/>
      <family val="2"/>
    </font>
    <font>
      <b/>
      <sz val="11"/>
      <color indexed="57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17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i/>
      <sz val="12"/>
      <color indexed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2"/>
      <name val="Arial"/>
      <family val="2"/>
    </font>
    <font>
      <b/>
      <i/>
      <sz val="20"/>
      <color indexed="10"/>
      <name val="Arial"/>
      <family val="2"/>
    </font>
    <font>
      <b/>
      <i/>
      <sz val="14"/>
      <name val="Arial"/>
      <family val="2"/>
    </font>
    <font>
      <b/>
      <sz val="11"/>
      <color indexed="53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b/>
      <sz val="12"/>
      <color indexed="53"/>
      <name val="Arial"/>
      <family val="2"/>
    </font>
    <font>
      <sz val="12"/>
      <name val="Arial"/>
      <family val="2"/>
    </font>
    <font>
      <b/>
      <sz val="10"/>
      <color indexed="53"/>
      <name val="Arial"/>
      <family val="2"/>
    </font>
    <font>
      <sz val="12"/>
      <color indexed="63"/>
      <name val="Arial"/>
      <family val="2"/>
    </font>
    <font>
      <b/>
      <sz val="12"/>
      <name val="Arial"/>
      <family val="2"/>
    </font>
    <font>
      <sz val="10"/>
      <color indexed="57"/>
      <name val="Arial"/>
      <family val="2"/>
    </font>
    <font>
      <sz val="16"/>
      <name val="Arial"/>
      <family val="2"/>
    </font>
    <font>
      <i/>
      <sz val="11"/>
      <name val="Calibri"/>
      <family val="2"/>
    </font>
    <font>
      <i/>
      <sz val="14"/>
      <name val="Calibri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2"/>
      <color indexed="57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b/>
      <i/>
      <sz val="16"/>
      <name val="Arial"/>
      <family val="2"/>
    </font>
    <font>
      <sz val="16"/>
      <color indexed="14"/>
      <name val="Arial"/>
      <family val="2"/>
    </font>
    <font>
      <sz val="16"/>
      <color indexed="20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20"/>
      <name val="Arial"/>
      <family val="2"/>
    </font>
    <font>
      <b/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1"/>
      <color indexed="23"/>
      <name val="Arial"/>
      <family val="2"/>
    </font>
    <font>
      <sz val="20"/>
      <name val="Arial"/>
      <family val="2"/>
    </font>
    <font>
      <sz val="14"/>
      <color indexed="9"/>
      <name val="Arial"/>
      <family val="2"/>
    </font>
    <font>
      <i/>
      <sz val="8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34"/>
        <bgColor indexed="64"/>
      </patternFill>
    </fill>
    <fill>
      <patternFill patternType="mediumGray">
        <fgColor indexed="56"/>
        <bgColor indexed="30"/>
      </patternFill>
    </fill>
    <fill>
      <patternFill patternType="solid">
        <fgColor indexed="5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</fills>
  <borders count="1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4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1885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167" fontId="3" fillId="2" borderId="2" xfId="0" applyNumberFormat="1" applyFont="1" applyFill="1" applyBorder="1" applyAlignment="1">
      <alignment horizontal="center" vertical="center" wrapText="1"/>
    </xf>
    <xf numFmtId="167" fontId="3" fillId="3" borderId="2" xfId="0" applyNumberFormat="1" applyFont="1" applyFill="1" applyBorder="1" applyAlignment="1">
      <alignment horizontal="center" vertical="center" wrapText="1"/>
    </xf>
    <xf numFmtId="167" fontId="3" fillId="4" borderId="2" xfId="0" applyNumberFormat="1" applyFont="1" applyFill="1" applyBorder="1" applyAlignment="1">
      <alignment horizontal="center" vertical="center" wrapText="1"/>
    </xf>
    <xf numFmtId="164" fontId="0" fillId="4" borderId="2" xfId="0" applyFill="1" applyBorder="1" applyAlignment="1">
      <alignment horizontal="center" vertical="center" wrapText="1"/>
    </xf>
    <xf numFmtId="167" fontId="3" fillId="5" borderId="2" xfId="0" applyNumberFormat="1" applyFont="1" applyFill="1" applyBorder="1" applyAlignment="1">
      <alignment horizontal="center" vertical="center" wrapText="1"/>
    </xf>
    <xf numFmtId="164" fontId="0" fillId="5" borderId="3" xfId="0" applyFill="1" applyBorder="1" applyAlignment="1">
      <alignment horizontal="center" vertical="center" wrapText="1"/>
    </xf>
    <xf numFmtId="164" fontId="4" fillId="6" borderId="2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4" fillId="7" borderId="2" xfId="0" applyFont="1" applyFill="1" applyBorder="1" applyAlignment="1">
      <alignment horizontal="center" vertical="center" wrapText="1"/>
    </xf>
    <xf numFmtId="164" fontId="4" fillId="6" borderId="3" xfId="0" applyFont="1" applyFill="1" applyBorder="1" applyAlignment="1">
      <alignment horizontal="center" vertical="center" wrapText="1"/>
    </xf>
    <xf numFmtId="167" fontId="3" fillId="8" borderId="3" xfId="0" applyNumberFormat="1" applyFont="1" applyFill="1" applyBorder="1" applyAlignment="1">
      <alignment horizontal="center" vertical="center" wrapText="1"/>
    </xf>
    <xf numFmtId="167" fontId="3" fillId="8" borderId="4" xfId="0" applyNumberFormat="1" applyFont="1" applyFill="1" applyBorder="1" applyAlignment="1">
      <alignment horizontal="center" vertical="center" wrapText="1"/>
    </xf>
    <xf numFmtId="167" fontId="3" fillId="8" borderId="5" xfId="0" applyNumberFormat="1" applyFont="1" applyFill="1" applyBorder="1" applyAlignment="1">
      <alignment horizontal="center" vertical="center" wrapText="1"/>
    </xf>
    <xf numFmtId="167" fontId="3" fillId="8" borderId="6" xfId="0" applyNumberFormat="1" applyFont="1" applyFill="1" applyBorder="1" applyAlignment="1">
      <alignment horizontal="center" vertical="center" wrapText="1"/>
    </xf>
    <xf numFmtId="167" fontId="3" fillId="8" borderId="2" xfId="0" applyNumberFormat="1" applyFont="1" applyFill="1" applyBorder="1" applyAlignment="1">
      <alignment horizontal="center" vertical="center" wrapText="1"/>
    </xf>
    <xf numFmtId="167" fontId="3" fillId="2" borderId="7" xfId="0" applyNumberFormat="1" applyFont="1" applyFill="1" applyBorder="1" applyAlignment="1">
      <alignment horizontal="center" vertical="center" wrapText="1"/>
    </xf>
    <xf numFmtId="167" fontId="3" fillId="3" borderId="7" xfId="0" applyNumberFormat="1" applyFont="1" applyFill="1" applyBorder="1" applyAlignment="1">
      <alignment horizontal="center" vertical="center" wrapText="1"/>
    </xf>
    <xf numFmtId="167" fontId="3" fillId="4" borderId="7" xfId="0" applyNumberFormat="1" applyFont="1" applyFill="1" applyBorder="1" applyAlignment="1">
      <alignment horizontal="center" vertical="center" wrapText="1"/>
    </xf>
    <xf numFmtId="167" fontId="3" fillId="5" borderId="7" xfId="0" applyNumberFormat="1" applyFont="1" applyFill="1" applyBorder="1" applyAlignment="1">
      <alignment horizontal="center" vertical="center" wrapText="1"/>
    </xf>
    <xf numFmtId="167" fontId="5" fillId="0" borderId="3" xfId="0" applyNumberFormat="1" applyFont="1" applyBorder="1" applyAlignment="1">
      <alignment horizontal="center" vertical="center"/>
    </xf>
    <xf numFmtId="164" fontId="6" fillId="7" borderId="8" xfId="0" applyFont="1" applyFill="1" applyBorder="1" applyAlignment="1">
      <alignment horizontal="center" vertical="center" wrapText="1"/>
    </xf>
    <xf numFmtId="164" fontId="7" fillId="7" borderId="9" xfId="0" applyFont="1" applyFill="1" applyBorder="1" applyAlignment="1">
      <alignment horizontal="center" vertical="center"/>
    </xf>
    <xf numFmtId="167" fontId="7" fillId="9" borderId="10" xfId="0" applyNumberFormat="1" applyFont="1" applyFill="1" applyBorder="1" applyAlignment="1">
      <alignment horizontal="center" vertical="center" wrapText="1"/>
    </xf>
    <xf numFmtId="168" fontId="7" fillId="9" borderId="10" xfId="0" applyNumberFormat="1" applyFont="1" applyFill="1" applyBorder="1" applyAlignment="1">
      <alignment horizontal="center" vertical="center" wrapText="1"/>
    </xf>
    <xf numFmtId="167" fontId="8" fillId="9" borderId="10" xfId="0" applyNumberFormat="1" applyFont="1" applyFill="1" applyBorder="1" applyAlignment="1">
      <alignment horizontal="center" vertical="center" wrapText="1"/>
    </xf>
    <xf numFmtId="169" fontId="7" fillId="9" borderId="11" xfId="0" applyNumberFormat="1" applyFont="1" applyFill="1" applyBorder="1" applyAlignment="1">
      <alignment horizontal="center" vertical="center" wrapText="1"/>
    </xf>
    <xf numFmtId="167" fontId="7" fillId="10" borderId="12" xfId="0" applyNumberFormat="1" applyFont="1" applyFill="1" applyBorder="1" applyAlignment="1">
      <alignment horizontal="center" vertical="center" wrapText="1"/>
    </xf>
    <xf numFmtId="164" fontId="0" fillId="7" borderId="13" xfId="0" applyFill="1" applyBorder="1" applyAlignment="1">
      <alignment horizontal="center" vertical="center"/>
    </xf>
    <xf numFmtId="164" fontId="0" fillId="7" borderId="14" xfId="0" applyFill="1" applyBorder="1" applyAlignment="1">
      <alignment horizontal="center" vertical="center"/>
    </xf>
    <xf numFmtId="167" fontId="9" fillId="7" borderId="3" xfId="0" applyNumberFormat="1" applyFont="1" applyFill="1" applyBorder="1" applyAlignment="1">
      <alignment horizontal="center" vertical="center"/>
    </xf>
    <xf numFmtId="167" fontId="0" fillId="7" borderId="14" xfId="0" applyNumberFormat="1" applyFill="1" applyBorder="1" applyAlignment="1">
      <alignment horizontal="center" vertical="center"/>
    </xf>
    <xf numFmtId="170" fontId="0" fillId="7" borderId="14" xfId="0" applyNumberFormat="1" applyFill="1" applyBorder="1" applyAlignment="1">
      <alignment horizontal="center" vertical="center"/>
    </xf>
    <xf numFmtId="164" fontId="0" fillId="7" borderId="15" xfId="0" applyFill="1" applyBorder="1" applyAlignment="1">
      <alignment horizontal="center" vertical="center"/>
    </xf>
    <xf numFmtId="164" fontId="0" fillId="2" borderId="14" xfId="0" applyFill="1" applyBorder="1" applyAlignment="1">
      <alignment horizontal="center" vertical="center"/>
    </xf>
    <xf numFmtId="164" fontId="0" fillId="11" borderId="14" xfId="0" applyFill="1" applyBorder="1" applyAlignment="1">
      <alignment horizontal="center" vertical="center"/>
    </xf>
    <xf numFmtId="170" fontId="0" fillId="11" borderId="14" xfId="0" applyNumberFormat="1" applyFill="1" applyBorder="1" applyAlignment="1">
      <alignment horizontal="center" vertical="center"/>
    </xf>
    <xf numFmtId="164" fontId="0" fillId="12" borderId="14" xfId="0" applyFill="1" applyBorder="1" applyAlignment="1">
      <alignment horizontal="center" vertical="center"/>
    </xf>
    <xf numFmtId="164" fontId="0" fillId="12" borderId="3" xfId="0" applyFill="1" applyBorder="1" applyAlignment="1">
      <alignment horizontal="center" vertical="center"/>
    </xf>
    <xf numFmtId="167" fontId="0" fillId="13" borderId="3" xfId="0" applyNumberFormat="1" applyFill="1" applyBorder="1" applyAlignment="1">
      <alignment horizontal="center" vertical="center"/>
    </xf>
    <xf numFmtId="170" fontId="0" fillId="6" borderId="3" xfId="0" applyNumberFormat="1" applyFont="1" applyFill="1" applyBorder="1" applyAlignment="1">
      <alignment horizontal="center" vertical="center"/>
    </xf>
    <xf numFmtId="167" fontId="0" fillId="6" borderId="14" xfId="0" applyNumberFormat="1" applyFont="1" applyFill="1" applyBorder="1" applyAlignment="1">
      <alignment horizontal="center" vertical="center"/>
    </xf>
    <xf numFmtId="164" fontId="7" fillId="7" borderId="14" xfId="0" applyFont="1" applyFill="1" applyBorder="1" applyAlignment="1">
      <alignment horizontal="center" vertical="center"/>
    </xf>
    <xf numFmtId="164" fontId="0" fillId="0" borderId="16" xfId="0" applyBorder="1" applyAlignment="1">
      <alignment/>
    </xf>
    <xf numFmtId="170" fontId="0" fillId="0" borderId="17" xfId="0" applyNumberFormat="1" applyBorder="1" applyAlignment="1">
      <alignment horizontal="center"/>
    </xf>
    <xf numFmtId="170" fontId="0" fillId="0" borderId="18" xfId="0" applyNumberFormat="1" applyBorder="1" applyAlignment="1">
      <alignment horizontal="center"/>
    </xf>
    <xf numFmtId="164" fontId="0" fillId="0" borderId="19" xfId="0" applyFont="1" applyBorder="1" applyAlignment="1">
      <alignment/>
    </xf>
    <xf numFmtId="164" fontId="7" fillId="7" borderId="20" xfId="0" applyFont="1" applyFill="1" applyBorder="1" applyAlignment="1">
      <alignment horizontal="center" vertical="center"/>
    </xf>
    <xf numFmtId="167" fontId="7" fillId="9" borderId="21" xfId="0" applyNumberFormat="1" applyFont="1" applyFill="1" applyBorder="1" applyAlignment="1">
      <alignment horizontal="center" vertical="center" wrapText="1"/>
    </xf>
    <xf numFmtId="167" fontId="9" fillId="7" borderId="22" xfId="0" applyNumberFormat="1" applyFont="1" applyFill="1" applyBorder="1" applyAlignment="1">
      <alignment horizontal="center" vertical="center"/>
    </xf>
    <xf numFmtId="167" fontId="0" fillId="7" borderId="13" xfId="0" applyNumberFormat="1" applyFill="1" applyBorder="1" applyAlignment="1">
      <alignment horizontal="center" vertical="center"/>
    </xf>
    <xf numFmtId="167" fontId="0" fillId="7" borderId="22" xfId="0" applyNumberFormat="1" applyFill="1" applyBorder="1" applyAlignment="1">
      <alignment horizontal="center" vertical="center"/>
    </xf>
    <xf numFmtId="170" fontId="0" fillId="7" borderId="13" xfId="0" applyNumberFormat="1" applyFill="1" applyBorder="1" applyAlignment="1">
      <alignment horizontal="center" vertical="center"/>
    </xf>
    <xf numFmtId="170" fontId="0" fillId="7" borderId="22" xfId="0" applyNumberFormat="1" applyFill="1" applyBorder="1" applyAlignment="1">
      <alignment horizontal="center" vertical="center"/>
    </xf>
    <xf numFmtId="164" fontId="0" fillId="7" borderId="22" xfId="0" applyFill="1" applyBorder="1" applyAlignment="1">
      <alignment horizontal="center" vertical="center"/>
    </xf>
    <xf numFmtId="164" fontId="0" fillId="2" borderId="13" xfId="0" applyFill="1" applyBorder="1" applyAlignment="1">
      <alignment horizontal="center" vertical="center"/>
    </xf>
    <xf numFmtId="164" fontId="0" fillId="11" borderId="13" xfId="0" applyFill="1" applyBorder="1" applyAlignment="1">
      <alignment horizontal="center" vertical="center"/>
    </xf>
    <xf numFmtId="170" fontId="0" fillId="11" borderId="13" xfId="0" applyNumberFormat="1" applyFill="1" applyBorder="1" applyAlignment="1">
      <alignment horizontal="center" vertical="center"/>
    </xf>
    <xf numFmtId="164" fontId="0" fillId="12" borderId="13" xfId="0" applyFill="1" applyBorder="1" applyAlignment="1">
      <alignment horizontal="center" vertical="center"/>
    </xf>
    <xf numFmtId="164" fontId="0" fillId="12" borderId="22" xfId="0" applyFill="1" applyBorder="1" applyAlignment="1">
      <alignment horizontal="center" vertical="center"/>
    </xf>
    <xf numFmtId="167" fontId="0" fillId="13" borderId="22" xfId="0" applyNumberFormat="1" applyFill="1" applyBorder="1" applyAlignment="1">
      <alignment horizontal="center" vertical="center"/>
    </xf>
    <xf numFmtId="170" fontId="0" fillId="6" borderId="22" xfId="0" applyNumberFormat="1" applyFont="1" applyFill="1" applyBorder="1" applyAlignment="1">
      <alignment horizontal="center" vertical="center"/>
    </xf>
    <xf numFmtId="164" fontId="7" fillId="7" borderId="13" xfId="0" applyFont="1" applyFill="1" applyBorder="1" applyAlignment="1">
      <alignment horizontal="center" vertical="center"/>
    </xf>
    <xf numFmtId="164" fontId="0" fillId="0" borderId="23" xfId="0" applyBorder="1" applyAlignment="1">
      <alignment/>
    </xf>
    <xf numFmtId="170" fontId="0" fillId="0" borderId="24" xfId="0" applyNumberFormat="1" applyBorder="1" applyAlignment="1">
      <alignment horizontal="center"/>
    </xf>
    <xf numFmtId="170" fontId="0" fillId="0" borderId="25" xfId="0" applyNumberFormat="1" applyBorder="1" applyAlignment="1">
      <alignment horizontal="center"/>
    </xf>
    <xf numFmtId="164" fontId="7" fillId="7" borderId="26" xfId="0" applyFont="1" applyFill="1" applyBorder="1" applyAlignment="1">
      <alignment horizontal="center" vertical="center"/>
    </xf>
    <xf numFmtId="167" fontId="7" fillId="9" borderId="27" xfId="0" applyNumberFormat="1" applyFont="1" applyFill="1" applyBorder="1" applyAlignment="1">
      <alignment horizontal="center" vertical="center" wrapText="1"/>
    </xf>
    <xf numFmtId="168" fontId="7" fillId="9" borderId="27" xfId="0" applyNumberFormat="1" applyFont="1" applyFill="1" applyBorder="1" applyAlignment="1">
      <alignment horizontal="center" vertical="center" wrapText="1"/>
    </xf>
    <xf numFmtId="167" fontId="8" fillId="9" borderId="27" xfId="0" applyNumberFormat="1" applyFont="1" applyFill="1" applyBorder="1" applyAlignment="1">
      <alignment horizontal="center" vertical="center" wrapText="1"/>
    </xf>
    <xf numFmtId="167" fontId="7" fillId="10" borderId="28" xfId="0" applyNumberFormat="1" applyFont="1" applyFill="1" applyBorder="1" applyAlignment="1">
      <alignment horizontal="center" vertical="center" wrapText="1"/>
    </xf>
    <xf numFmtId="167" fontId="9" fillId="7" borderId="15" xfId="0" applyNumberFormat="1" applyFont="1" applyFill="1" applyBorder="1" applyAlignment="1">
      <alignment horizontal="center" vertical="center"/>
    </xf>
    <xf numFmtId="172" fontId="0" fillId="7" borderId="29" xfId="0" applyNumberFormat="1" applyFill="1" applyBorder="1" applyAlignment="1" applyProtection="1">
      <alignment horizontal="center" vertical="center"/>
      <protection/>
    </xf>
    <xf numFmtId="172" fontId="0" fillId="7" borderId="29" xfId="0" applyNumberFormat="1" applyFill="1" applyBorder="1" applyAlignment="1">
      <alignment horizontal="center" vertical="center"/>
    </xf>
    <xf numFmtId="170" fontId="0" fillId="7" borderId="15" xfId="0" applyNumberFormat="1" applyFill="1" applyBorder="1" applyAlignment="1">
      <alignment horizontal="center" vertical="center"/>
    </xf>
    <xf numFmtId="164" fontId="0" fillId="2" borderId="15" xfId="0" applyFill="1" applyBorder="1" applyAlignment="1">
      <alignment horizontal="center" vertical="center"/>
    </xf>
    <xf numFmtId="164" fontId="0" fillId="11" borderId="15" xfId="0" applyFill="1" applyBorder="1" applyAlignment="1">
      <alignment horizontal="center" vertical="center"/>
    </xf>
    <xf numFmtId="170" fontId="0" fillId="11" borderId="15" xfId="0" applyNumberFormat="1" applyFill="1" applyBorder="1" applyAlignment="1">
      <alignment horizontal="center" vertical="center"/>
    </xf>
    <xf numFmtId="164" fontId="0" fillId="12" borderId="15" xfId="0" applyFill="1" applyBorder="1" applyAlignment="1">
      <alignment horizontal="center" vertical="center"/>
    </xf>
    <xf numFmtId="167" fontId="0" fillId="12" borderId="15" xfId="0" applyNumberFormat="1" applyFill="1" applyBorder="1" applyAlignment="1">
      <alignment horizontal="center" vertical="center"/>
    </xf>
    <xf numFmtId="167" fontId="0" fillId="13" borderId="15" xfId="0" applyNumberFormat="1" applyFill="1" applyBorder="1" applyAlignment="1">
      <alignment horizontal="center" vertical="center"/>
    </xf>
    <xf numFmtId="170" fontId="0" fillId="6" borderId="15" xfId="0" applyNumberFormat="1" applyFont="1" applyFill="1" applyBorder="1" applyAlignment="1">
      <alignment horizontal="center" vertical="center"/>
    </xf>
    <xf numFmtId="164" fontId="7" fillId="7" borderId="15" xfId="0" applyFont="1" applyFill="1" applyBorder="1" applyAlignment="1">
      <alignment horizontal="center" vertical="center"/>
    </xf>
    <xf numFmtId="164" fontId="0" fillId="0" borderId="30" xfId="0" applyBorder="1" applyAlignment="1">
      <alignment/>
    </xf>
    <xf numFmtId="170" fontId="0" fillId="0" borderId="31" xfId="0" applyNumberFormat="1" applyBorder="1" applyAlignment="1">
      <alignment horizontal="center"/>
    </xf>
    <xf numFmtId="170" fontId="0" fillId="0" borderId="32" xfId="0" applyNumberFormat="1" applyBorder="1" applyAlignment="1">
      <alignment horizontal="center"/>
    </xf>
    <xf numFmtId="164" fontId="7" fillId="7" borderId="33" xfId="0" applyFont="1" applyFill="1" applyBorder="1" applyAlignment="1">
      <alignment horizontal="center" vertical="center"/>
    </xf>
    <xf numFmtId="167" fontId="7" fillId="9" borderId="34" xfId="0" applyNumberFormat="1" applyFont="1" applyFill="1" applyBorder="1" applyAlignment="1">
      <alignment horizontal="center" vertical="center" wrapText="1"/>
    </xf>
    <xf numFmtId="168" fontId="7" fillId="9" borderId="34" xfId="0" applyNumberFormat="1" applyFont="1" applyFill="1" applyBorder="1" applyAlignment="1">
      <alignment horizontal="center" vertical="center" wrapText="1"/>
    </xf>
    <xf numFmtId="167" fontId="8" fillId="9" borderId="34" xfId="0" applyNumberFormat="1" applyFont="1" applyFill="1" applyBorder="1" applyAlignment="1">
      <alignment horizontal="center" vertical="center" wrapText="1"/>
    </xf>
    <xf numFmtId="167" fontId="7" fillId="10" borderId="35" xfId="0" applyNumberFormat="1" applyFont="1" applyFill="1" applyBorder="1" applyAlignment="1">
      <alignment horizontal="center" vertical="center" wrapText="1"/>
    </xf>
    <xf numFmtId="164" fontId="0" fillId="7" borderId="36" xfId="0" applyFill="1" applyBorder="1" applyAlignment="1">
      <alignment horizontal="center" vertical="center"/>
    </xf>
    <xf numFmtId="167" fontId="9" fillId="7" borderId="13" xfId="0" applyNumberFormat="1" applyFont="1" applyFill="1" applyBorder="1" applyAlignment="1">
      <alignment horizontal="center" vertical="center"/>
    </xf>
    <xf numFmtId="164" fontId="0" fillId="2" borderId="36" xfId="0" applyFill="1" applyBorder="1" applyAlignment="1">
      <alignment horizontal="center" vertical="center"/>
    </xf>
    <xf numFmtId="164" fontId="0" fillId="11" borderId="36" xfId="0" applyFill="1" applyBorder="1" applyAlignment="1">
      <alignment horizontal="center" vertical="center"/>
    </xf>
    <xf numFmtId="170" fontId="0" fillId="11" borderId="36" xfId="0" applyNumberFormat="1" applyFill="1" applyBorder="1" applyAlignment="1">
      <alignment horizontal="center" vertical="center"/>
    </xf>
    <xf numFmtId="164" fontId="0" fillId="12" borderId="36" xfId="0" applyFill="1" applyBorder="1" applyAlignment="1">
      <alignment horizontal="center" vertical="center"/>
    </xf>
    <xf numFmtId="167" fontId="0" fillId="12" borderId="13" xfId="0" applyNumberFormat="1" applyFill="1" applyBorder="1" applyAlignment="1">
      <alignment horizontal="center" vertical="center"/>
    </xf>
    <xf numFmtId="167" fontId="0" fillId="13" borderId="13" xfId="0" applyNumberFormat="1" applyFill="1" applyBorder="1" applyAlignment="1">
      <alignment horizontal="center" vertical="center"/>
    </xf>
    <xf numFmtId="170" fontId="0" fillId="6" borderId="13" xfId="0" applyNumberFormat="1" applyFont="1" applyFill="1" applyBorder="1" applyAlignment="1">
      <alignment horizontal="center" vertical="center"/>
    </xf>
    <xf numFmtId="167" fontId="0" fillId="6" borderId="36" xfId="0" applyNumberFormat="1" applyFont="1" applyFill="1" applyBorder="1" applyAlignment="1">
      <alignment horizontal="center" vertical="center"/>
    </xf>
    <xf numFmtId="164" fontId="7" fillId="7" borderId="36" xfId="0" applyFont="1" applyFill="1" applyBorder="1" applyAlignment="1">
      <alignment horizontal="center" vertical="center"/>
    </xf>
    <xf numFmtId="164" fontId="10" fillId="0" borderId="37" xfId="0" applyFont="1" applyBorder="1" applyAlignment="1">
      <alignment vertical="center"/>
    </xf>
    <xf numFmtId="167" fontId="7" fillId="10" borderId="38" xfId="0" applyNumberFormat="1" applyFont="1" applyFill="1" applyBorder="1" applyAlignment="1">
      <alignment horizontal="center" vertical="center" wrapText="1"/>
    </xf>
    <xf numFmtId="167" fontId="0" fillId="7" borderId="3" xfId="0" applyNumberFormat="1" applyFill="1" applyBorder="1" applyAlignment="1">
      <alignment horizontal="center" vertical="center"/>
    </xf>
    <xf numFmtId="170" fontId="0" fillId="7" borderId="3" xfId="0" applyNumberFormat="1" applyFill="1" applyBorder="1" applyAlignment="1">
      <alignment horizontal="center" vertical="center"/>
    </xf>
    <xf numFmtId="167" fontId="0" fillId="12" borderId="3" xfId="0" applyNumberFormat="1" applyFill="1" applyBorder="1" applyAlignment="1">
      <alignment horizontal="center" vertical="center"/>
    </xf>
    <xf numFmtId="164" fontId="11" fillId="0" borderId="37" xfId="0" applyFont="1" applyBorder="1" applyAlignment="1">
      <alignment vertical="center"/>
    </xf>
    <xf numFmtId="167" fontId="7" fillId="10" borderId="39" xfId="0" applyNumberFormat="1" applyFont="1" applyFill="1" applyBorder="1" applyAlignment="1">
      <alignment horizontal="center" vertical="center" wrapText="1"/>
    </xf>
    <xf numFmtId="167" fontId="0" fillId="7" borderId="15" xfId="0" applyNumberFormat="1" applyFill="1" applyBorder="1" applyAlignment="1">
      <alignment horizontal="center" vertical="center"/>
    </xf>
    <xf numFmtId="167" fontId="0" fillId="6" borderId="15" xfId="0" applyNumberFormat="1" applyFont="1" applyFill="1" applyBorder="1" applyAlignment="1">
      <alignment horizontal="center" vertical="center"/>
    </xf>
    <xf numFmtId="164" fontId="8" fillId="0" borderId="40" xfId="0" applyFont="1" applyBorder="1" applyAlignment="1">
      <alignment vertical="center"/>
    </xf>
    <xf numFmtId="164" fontId="7" fillId="0" borderId="33" xfId="0" applyFont="1" applyBorder="1" applyAlignment="1">
      <alignment horizontal="center"/>
    </xf>
    <xf numFmtId="164" fontId="7" fillId="0" borderId="36" xfId="0" applyFont="1" applyBorder="1" applyAlignment="1">
      <alignment horizontal="center"/>
    </xf>
    <xf numFmtId="164" fontId="6" fillId="7" borderId="41" xfId="0" applyFont="1" applyFill="1" applyBorder="1" applyAlignment="1">
      <alignment horizontal="center" vertical="center" wrapText="1"/>
    </xf>
    <xf numFmtId="164" fontId="6" fillId="7" borderId="42" xfId="0" applyFont="1" applyFill="1" applyBorder="1" applyAlignment="1">
      <alignment horizontal="center" vertical="center" wrapText="1"/>
    </xf>
    <xf numFmtId="164" fontId="7" fillId="7" borderId="41" xfId="0" applyFont="1" applyFill="1" applyBorder="1" applyAlignment="1">
      <alignment horizontal="center" vertical="center"/>
    </xf>
    <xf numFmtId="167" fontId="7" fillId="9" borderId="5" xfId="0" applyNumberFormat="1" applyFont="1" applyFill="1" applyBorder="1" applyAlignment="1">
      <alignment horizontal="center" vertical="center" wrapText="1"/>
    </xf>
    <xf numFmtId="168" fontId="7" fillId="9" borderId="5" xfId="0" applyNumberFormat="1" applyFont="1" applyFill="1" applyBorder="1" applyAlignment="1">
      <alignment horizontal="center" vertical="center" wrapText="1"/>
    </xf>
    <xf numFmtId="167" fontId="8" fillId="9" borderId="5" xfId="0" applyNumberFormat="1" applyFont="1" applyFill="1" applyBorder="1" applyAlignment="1">
      <alignment horizontal="center" vertical="center" wrapText="1"/>
    </xf>
    <xf numFmtId="164" fontId="0" fillId="7" borderId="30" xfId="0" applyFill="1" applyBorder="1" applyAlignment="1">
      <alignment/>
    </xf>
    <xf numFmtId="164" fontId="6" fillId="7" borderId="40" xfId="0" applyFont="1" applyFill="1" applyBorder="1" applyAlignment="1">
      <alignment horizontal="center" vertical="center" wrapText="1"/>
    </xf>
    <xf numFmtId="164" fontId="7" fillId="7" borderId="43" xfId="0" applyFont="1" applyFill="1" applyBorder="1" applyAlignment="1">
      <alignment horizontal="center" vertical="center"/>
    </xf>
    <xf numFmtId="168" fontId="7" fillId="9" borderId="21" xfId="0" applyNumberFormat="1" applyFont="1" applyFill="1" applyBorder="1" applyAlignment="1">
      <alignment horizontal="center" vertical="center" wrapText="1"/>
    </xf>
    <xf numFmtId="167" fontId="8" fillId="9" borderId="21" xfId="0" applyNumberFormat="1" applyFont="1" applyFill="1" applyBorder="1" applyAlignment="1">
      <alignment horizontal="center" vertical="center" wrapText="1"/>
    </xf>
    <xf numFmtId="167" fontId="7" fillId="10" borderId="11" xfId="0" applyNumberFormat="1" applyFont="1" applyFill="1" applyBorder="1" applyAlignment="1">
      <alignment horizontal="center" vertical="center" wrapText="1"/>
    </xf>
    <xf numFmtId="173" fontId="0" fillId="7" borderId="29" xfId="0" applyNumberFormat="1" applyFont="1" applyFill="1" applyBorder="1" applyAlignment="1">
      <alignment horizontal="center" vertical="center"/>
    </xf>
    <xf numFmtId="172" fontId="0" fillId="7" borderId="3" xfId="0" applyNumberFormat="1" applyFill="1" applyBorder="1" applyAlignment="1">
      <alignment horizontal="center" vertical="center"/>
    </xf>
    <xf numFmtId="170" fontId="0" fillId="7" borderId="15" xfId="0" applyNumberFormat="1" applyFont="1" applyFill="1" applyBorder="1" applyAlignment="1">
      <alignment horizontal="center" vertical="center"/>
    </xf>
    <xf numFmtId="164" fontId="0" fillId="4" borderId="14" xfId="0" applyFill="1" applyBorder="1" applyAlignment="1">
      <alignment horizontal="center" vertical="center"/>
    </xf>
    <xf numFmtId="164" fontId="0" fillId="4" borderId="3" xfId="0" applyFill="1" applyBorder="1" applyAlignment="1">
      <alignment horizontal="center" vertical="center"/>
    </xf>
    <xf numFmtId="167" fontId="9" fillId="7" borderId="36" xfId="0" applyNumberFormat="1" applyFont="1" applyFill="1" applyBorder="1" applyAlignment="1">
      <alignment horizontal="center" vertical="center"/>
    </xf>
    <xf numFmtId="167" fontId="0" fillId="7" borderId="36" xfId="0" applyNumberFormat="1" applyFill="1" applyBorder="1" applyAlignment="1">
      <alignment horizontal="center" vertical="center"/>
    </xf>
    <xf numFmtId="170" fontId="0" fillId="7" borderId="36" xfId="0" applyNumberFormat="1" applyFill="1" applyBorder="1" applyAlignment="1">
      <alignment horizontal="center" vertical="center"/>
    </xf>
    <xf numFmtId="164" fontId="0" fillId="4" borderId="22" xfId="0" applyFill="1" applyBorder="1" applyAlignment="1">
      <alignment horizontal="center" vertical="center"/>
    </xf>
    <xf numFmtId="167" fontId="0" fillId="13" borderId="36" xfId="0" applyNumberFormat="1" applyFill="1" applyBorder="1" applyAlignment="1">
      <alignment horizontal="center" vertical="center"/>
    </xf>
    <xf numFmtId="170" fontId="0" fillId="6" borderId="36" xfId="0" applyNumberFormat="1" applyFont="1" applyFill="1" applyBorder="1" applyAlignment="1">
      <alignment horizontal="center" vertical="center"/>
    </xf>
    <xf numFmtId="164" fontId="6" fillId="7" borderId="44" xfId="0" applyFont="1" applyFill="1" applyBorder="1" applyAlignment="1">
      <alignment horizontal="center" vertical="center" wrapText="1"/>
    </xf>
    <xf numFmtId="164" fontId="6" fillId="7" borderId="45" xfId="0" applyFont="1" applyFill="1" applyBorder="1" applyAlignment="1">
      <alignment horizontal="center" vertical="center" wrapText="1"/>
    </xf>
    <xf numFmtId="164" fontId="6" fillId="7" borderId="46" xfId="0" applyFont="1" applyFill="1" applyBorder="1" applyAlignment="1">
      <alignment horizontal="center" vertical="center" wrapText="1"/>
    </xf>
    <xf numFmtId="167" fontId="7" fillId="9" borderId="47" xfId="0" applyNumberFormat="1" applyFont="1" applyFill="1" applyBorder="1" applyAlignment="1">
      <alignment horizontal="center" vertical="center" wrapText="1"/>
    </xf>
    <xf numFmtId="164" fontId="0" fillId="7" borderId="29" xfId="0" applyFill="1" applyBorder="1" applyAlignment="1">
      <alignment horizontal="center" vertical="center"/>
    </xf>
    <xf numFmtId="164" fontId="0" fillId="2" borderId="29" xfId="0" applyFill="1" applyBorder="1" applyAlignment="1">
      <alignment horizontal="center" vertical="center"/>
    </xf>
    <xf numFmtId="164" fontId="0" fillId="11" borderId="29" xfId="0" applyFill="1" applyBorder="1" applyAlignment="1">
      <alignment horizontal="center" vertical="center"/>
    </xf>
    <xf numFmtId="170" fontId="0" fillId="11" borderId="29" xfId="0" applyNumberFormat="1" applyFill="1" applyBorder="1" applyAlignment="1">
      <alignment horizontal="center" vertical="center"/>
    </xf>
    <xf numFmtId="164" fontId="0" fillId="12" borderId="29" xfId="0" applyFill="1" applyBorder="1" applyAlignment="1">
      <alignment horizontal="center" vertical="center"/>
    </xf>
    <xf numFmtId="167" fontId="0" fillId="6" borderId="29" xfId="0" applyNumberFormat="1" applyFont="1" applyFill="1" applyBorder="1" applyAlignment="1">
      <alignment horizontal="center" vertical="center"/>
    </xf>
    <xf numFmtId="164" fontId="7" fillId="7" borderId="29" xfId="0" applyFont="1" applyFill="1" applyBorder="1" applyAlignment="1">
      <alignment horizontal="center" vertical="center"/>
    </xf>
    <xf numFmtId="164" fontId="6" fillId="7" borderId="48" xfId="0" applyFont="1" applyFill="1" applyBorder="1" applyAlignment="1">
      <alignment horizontal="center" vertical="center" wrapText="1"/>
    </xf>
    <xf numFmtId="164" fontId="0" fillId="7" borderId="7" xfId="0" applyFill="1" applyBorder="1" applyAlignment="1">
      <alignment horizontal="center" vertical="center"/>
    </xf>
    <xf numFmtId="164" fontId="6" fillId="7" borderId="0" xfId="0" applyFont="1" applyFill="1" applyBorder="1" applyAlignment="1">
      <alignment horizontal="center" vertical="center" wrapText="1"/>
    </xf>
    <xf numFmtId="164" fontId="7" fillId="7" borderId="49" xfId="0" applyFont="1" applyFill="1" applyBorder="1" applyAlignment="1">
      <alignment horizontal="center" vertical="center"/>
    </xf>
    <xf numFmtId="167" fontId="7" fillId="9" borderId="50" xfId="0" applyNumberFormat="1" applyFont="1" applyFill="1" applyBorder="1" applyAlignment="1">
      <alignment horizontal="center" vertical="center" wrapText="1"/>
    </xf>
    <xf numFmtId="168" fontId="7" fillId="9" borderId="50" xfId="0" applyNumberFormat="1" applyFont="1" applyFill="1" applyBorder="1" applyAlignment="1">
      <alignment horizontal="center" vertical="center" wrapText="1"/>
    </xf>
    <xf numFmtId="167" fontId="8" fillId="9" borderId="50" xfId="0" applyNumberFormat="1" applyFont="1" applyFill="1" applyBorder="1" applyAlignment="1">
      <alignment horizontal="center" vertical="center" wrapText="1"/>
    </xf>
    <xf numFmtId="164" fontId="6" fillId="7" borderId="37" xfId="0" applyFont="1" applyFill="1" applyBorder="1" applyAlignment="1">
      <alignment horizontal="center" vertical="center" wrapText="1"/>
    </xf>
    <xf numFmtId="164" fontId="7" fillId="7" borderId="51" xfId="0" applyFont="1" applyFill="1" applyBorder="1" applyAlignment="1">
      <alignment horizontal="center" vertical="center"/>
    </xf>
    <xf numFmtId="167" fontId="0" fillId="7" borderId="29" xfId="0" applyNumberFormat="1" applyFont="1" applyFill="1" applyBorder="1" applyAlignment="1">
      <alignment horizontal="center" vertical="center"/>
    </xf>
    <xf numFmtId="167" fontId="0" fillId="7" borderId="29" xfId="0" applyNumberFormat="1" applyFill="1" applyBorder="1" applyAlignment="1">
      <alignment horizontal="center" vertical="center"/>
    </xf>
    <xf numFmtId="170" fontId="0" fillId="4" borderId="15" xfId="0" applyNumberFormat="1" applyFill="1" applyBorder="1" applyAlignment="1">
      <alignment horizontal="center" vertical="center"/>
    </xf>
    <xf numFmtId="164" fontId="6" fillId="7" borderId="3" xfId="0" applyFont="1" applyFill="1" applyBorder="1" applyAlignment="1">
      <alignment horizontal="center" vertical="center" wrapText="1"/>
    </xf>
    <xf numFmtId="164" fontId="6" fillId="7" borderId="2" xfId="0" applyFont="1" applyFill="1" applyBorder="1" applyAlignment="1">
      <alignment horizontal="center" vertical="center" wrapText="1"/>
    </xf>
    <xf numFmtId="164" fontId="7" fillId="7" borderId="52" xfId="0" applyFont="1" applyFill="1" applyBorder="1" applyAlignment="1">
      <alignment horizontal="center" vertical="center"/>
    </xf>
    <xf numFmtId="167" fontId="7" fillId="14" borderId="10" xfId="0" applyNumberFormat="1" applyFont="1" applyFill="1" applyBorder="1" applyAlignment="1">
      <alignment horizontal="center" vertical="center" wrapText="1"/>
    </xf>
    <xf numFmtId="168" fontId="7" fillId="14" borderId="10" xfId="0" applyNumberFormat="1" applyFont="1" applyFill="1" applyBorder="1" applyAlignment="1">
      <alignment horizontal="center" vertical="center" wrapText="1"/>
    </xf>
    <xf numFmtId="168" fontId="8" fillId="14" borderId="53" xfId="0" applyNumberFormat="1" applyFont="1" applyFill="1" applyBorder="1" applyAlignment="1">
      <alignment horizontal="center" vertical="center" wrapText="1"/>
    </xf>
    <xf numFmtId="164" fontId="0" fillId="3" borderId="14" xfId="0" applyFill="1" applyBorder="1" applyAlignment="1">
      <alignment horizontal="center" vertical="center"/>
    </xf>
    <xf numFmtId="170" fontId="0" fillId="3" borderId="13" xfId="0" applyNumberFormat="1" applyFill="1" applyBorder="1" applyAlignment="1">
      <alignment horizontal="center" vertical="center"/>
    </xf>
    <xf numFmtId="164" fontId="0" fillId="5" borderId="3" xfId="0" applyFill="1" applyBorder="1" applyAlignment="1">
      <alignment horizontal="center" vertical="center"/>
    </xf>
    <xf numFmtId="164" fontId="7" fillId="7" borderId="54" xfId="0" applyFont="1" applyFill="1" applyBorder="1" applyAlignment="1">
      <alignment horizontal="center" vertical="center"/>
    </xf>
    <xf numFmtId="167" fontId="7" fillId="14" borderId="27" xfId="0" applyNumberFormat="1" applyFont="1" applyFill="1" applyBorder="1" applyAlignment="1">
      <alignment horizontal="center" vertical="center" wrapText="1"/>
    </xf>
    <xf numFmtId="168" fontId="7" fillId="14" borderId="27" xfId="0" applyNumberFormat="1" applyFont="1" applyFill="1" applyBorder="1" applyAlignment="1">
      <alignment horizontal="center" vertical="center" wrapText="1"/>
    </xf>
    <xf numFmtId="167" fontId="0" fillId="7" borderId="15" xfId="0" applyNumberFormat="1" applyFont="1" applyFill="1" applyBorder="1" applyAlignment="1">
      <alignment horizontal="center" vertical="center"/>
    </xf>
    <xf numFmtId="164" fontId="0" fillId="3" borderId="15" xfId="0" applyFill="1" applyBorder="1" applyAlignment="1">
      <alignment horizontal="center" vertical="center"/>
    </xf>
    <xf numFmtId="170" fontId="0" fillId="15" borderId="15" xfId="0" applyNumberFormat="1" applyFill="1" applyBorder="1" applyAlignment="1">
      <alignment horizontal="center" vertical="center"/>
    </xf>
    <xf numFmtId="170" fontId="0" fillId="3" borderId="15" xfId="0" applyNumberFormat="1" applyFill="1" applyBorder="1" applyAlignment="1">
      <alignment horizontal="center" vertical="center"/>
    </xf>
    <xf numFmtId="164" fontId="0" fillId="4" borderId="15" xfId="0" applyFill="1" applyBorder="1" applyAlignment="1">
      <alignment horizontal="center" vertical="center"/>
    </xf>
    <xf numFmtId="170" fontId="0" fillId="5" borderId="15" xfId="0" applyNumberFormat="1" applyFill="1" applyBorder="1" applyAlignment="1">
      <alignment horizontal="center" vertical="center"/>
    </xf>
    <xf numFmtId="170" fontId="0" fillId="12" borderId="15" xfId="0" applyNumberFormat="1" applyFill="1" applyBorder="1" applyAlignment="1">
      <alignment horizontal="center" vertical="center"/>
    </xf>
    <xf numFmtId="170" fontId="0" fillId="13" borderId="15" xfId="0" applyNumberFormat="1" applyFill="1" applyBorder="1" applyAlignment="1">
      <alignment horizontal="center" vertical="center"/>
    </xf>
    <xf numFmtId="164" fontId="7" fillId="7" borderId="55" xfId="0" applyFont="1" applyFill="1" applyBorder="1" applyAlignment="1">
      <alignment horizontal="center" vertical="center"/>
    </xf>
    <xf numFmtId="167" fontId="7" fillId="10" borderId="15" xfId="0" applyNumberFormat="1" applyFont="1" applyFill="1" applyBorder="1" applyAlignment="1">
      <alignment horizontal="center" vertical="center" wrapText="1"/>
    </xf>
    <xf numFmtId="170" fontId="0" fillId="7" borderId="29" xfId="0" applyNumberFormat="1" applyFill="1" applyBorder="1" applyAlignment="1">
      <alignment horizontal="center" vertical="center"/>
    </xf>
    <xf numFmtId="164" fontId="0" fillId="3" borderId="29" xfId="0" applyFill="1" applyBorder="1" applyAlignment="1">
      <alignment horizontal="center" vertical="center"/>
    </xf>
    <xf numFmtId="170" fontId="0" fillId="3" borderId="29" xfId="0" applyNumberFormat="1" applyFill="1" applyBorder="1" applyAlignment="1">
      <alignment horizontal="center" vertical="center"/>
    </xf>
    <xf numFmtId="164" fontId="0" fillId="4" borderId="29" xfId="0" applyFill="1" applyBorder="1" applyAlignment="1">
      <alignment horizontal="center" vertical="center"/>
    </xf>
    <xf numFmtId="170" fontId="0" fillId="4" borderId="22" xfId="0" applyNumberFormat="1" applyFill="1" applyBorder="1" applyAlignment="1">
      <alignment horizontal="center" vertical="center"/>
    </xf>
    <xf numFmtId="170" fontId="0" fillId="5" borderId="22" xfId="0" applyNumberFormat="1" applyFill="1" applyBorder="1" applyAlignment="1">
      <alignment horizontal="center" vertical="center"/>
    </xf>
    <xf numFmtId="167" fontId="7" fillId="14" borderId="34" xfId="0" applyNumberFormat="1" applyFont="1" applyFill="1" applyBorder="1" applyAlignment="1">
      <alignment horizontal="center" vertical="center" wrapText="1"/>
    </xf>
    <xf numFmtId="168" fontId="7" fillId="14" borderId="34" xfId="0" applyNumberFormat="1" applyFont="1" applyFill="1" applyBorder="1" applyAlignment="1">
      <alignment horizontal="center" vertical="center" wrapText="1"/>
    </xf>
    <xf numFmtId="164" fontId="7" fillId="7" borderId="22" xfId="0" applyFont="1" applyFill="1" applyBorder="1" applyAlignment="1">
      <alignment horizontal="center" vertical="center"/>
    </xf>
    <xf numFmtId="167" fontId="7" fillId="10" borderId="56" xfId="0" applyNumberFormat="1" applyFont="1" applyFill="1" applyBorder="1" applyAlignment="1">
      <alignment horizontal="center" vertical="center" wrapText="1"/>
    </xf>
    <xf numFmtId="164" fontId="7" fillId="7" borderId="57" xfId="0" applyFont="1" applyFill="1" applyBorder="1" applyAlignment="1">
      <alignment horizontal="center" vertical="center"/>
    </xf>
    <xf numFmtId="164" fontId="0" fillId="7" borderId="36" xfId="0" applyFill="1" applyBorder="1" applyAlignment="1">
      <alignment vertical="center"/>
    </xf>
    <xf numFmtId="164" fontId="0" fillId="3" borderId="36" xfId="0" applyFill="1" applyBorder="1" applyAlignment="1">
      <alignment horizontal="center" vertical="center"/>
    </xf>
    <xf numFmtId="170" fontId="0" fillId="3" borderId="36" xfId="0" applyNumberFormat="1" applyFill="1" applyBorder="1" applyAlignment="1">
      <alignment horizontal="center" vertical="center"/>
    </xf>
    <xf numFmtId="164" fontId="0" fillId="4" borderId="36" xfId="0" applyFill="1" applyBorder="1" applyAlignment="1">
      <alignment horizontal="center" vertical="center"/>
    </xf>
    <xf numFmtId="170" fontId="0" fillId="12" borderId="36" xfId="0" applyNumberFormat="1" applyFill="1" applyBorder="1" applyAlignment="1">
      <alignment horizontal="center" vertical="center"/>
    </xf>
    <xf numFmtId="170" fontId="0" fillId="5" borderId="36" xfId="0" applyNumberFormat="1" applyFill="1" applyBorder="1" applyAlignment="1">
      <alignment horizontal="center" vertical="center"/>
    </xf>
    <xf numFmtId="167" fontId="7" fillId="10" borderId="36" xfId="0" applyNumberFormat="1" applyFont="1" applyFill="1" applyBorder="1" applyAlignment="1">
      <alignment horizontal="center" vertical="center" wrapText="1"/>
    </xf>
    <xf numFmtId="167" fontId="9" fillId="7" borderId="29" xfId="0" applyNumberFormat="1" applyFont="1" applyFill="1" applyBorder="1" applyAlignment="1">
      <alignment horizontal="center" vertical="center"/>
    </xf>
    <xf numFmtId="170" fontId="0" fillId="4" borderId="36" xfId="0" applyNumberFormat="1" applyFill="1" applyBorder="1" applyAlignment="1">
      <alignment horizontal="center" vertical="center"/>
    </xf>
    <xf numFmtId="164" fontId="7" fillId="7" borderId="37" xfId="0" applyFont="1" applyFill="1" applyBorder="1" applyAlignment="1">
      <alignment horizontal="center" vertical="center"/>
    </xf>
    <xf numFmtId="167" fontId="7" fillId="14" borderId="50" xfId="0" applyNumberFormat="1" applyFont="1" applyFill="1" applyBorder="1" applyAlignment="1">
      <alignment horizontal="center" vertical="center" wrapText="1"/>
    </xf>
    <xf numFmtId="168" fontId="7" fillId="14" borderId="50" xfId="0" applyNumberFormat="1" applyFont="1" applyFill="1" applyBorder="1" applyAlignment="1">
      <alignment horizontal="center" vertical="center" wrapText="1"/>
    </xf>
    <xf numFmtId="164" fontId="0" fillId="7" borderId="3" xfId="0" applyFill="1" applyBorder="1" applyAlignment="1">
      <alignment horizontal="center" vertical="center"/>
    </xf>
    <xf numFmtId="164" fontId="0" fillId="2" borderId="3" xfId="0" applyFill="1" applyBorder="1" applyAlignment="1">
      <alignment horizontal="center" vertical="center"/>
    </xf>
    <xf numFmtId="164" fontId="0" fillId="3" borderId="3" xfId="0" applyFill="1" applyBorder="1" applyAlignment="1">
      <alignment horizontal="center" vertical="center"/>
    </xf>
    <xf numFmtId="170" fontId="0" fillId="15" borderId="22" xfId="0" applyNumberFormat="1" applyFill="1" applyBorder="1" applyAlignment="1">
      <alignment horizontal="center" vertical="center"/>
    </xf>
    <xf numFmtId="167" fontId="0" fillId="6" borderId="3" xfId="0" applyNumberFormat="1" applyFont="1" applyFill="1" applyBorder="1" applyAlignment="1">
      <alignment horizontal="center" vertical="center"/>
    </xf>
    <xf numFmtId="164" fontId="6" fillId="7" borderId="58" xfId="0" applyFont="1" applyFill="1" applyBorder="1" applyAlignment="1">
      <alignment horizontal="center" vertical="center" wrapText="1"/>
    </xf>
    <xf numFmtId="164" fontId="7" fillId="7" borderId="8" xfId="0" applyFont="1" applyFill="1" applyBorder="1" applyAlignment="1">
      <alignment horizontal="center" vertical="center"/>
    </xf>
    <xf numFmtId="167" fontId="7" fillId="14" borderId="5" xfId="0" applyNumberFormat="1" applyFont="1" applyFill="1" applyBorder="1" applyAlignment="1">
      <alignment horizontal="center" vertical="center" wrapText="1"/>
    </xf>
    <xf numFmtId="168" fontId="7" fillId="14" borderId="5" xfId="0" applyNumberFormat="1" applyFont="1" applyFill="1" applyBorder="1" applyAlignment="1">
      <alignment horizontal="center" vertical="center" wrapText="1"/>
    </xf>
    <xf numFmtId="167" fontId="7" fillId="16" borderId="59" xfId="0" applyNumberFormat="1" applyFont="1" applyFill="1" applyBorder="1" applyAlignment="1">
      <alignment horizontal="center" vertical="center" wrapText="1"/>
    </xf>
    <xf numFmtId="168" fontId="7" fillId="16" borderId="59" xfId="0" applyNumberFormat="1" applyFont="1" applyFill="1" applyBorder="1" applyAlignment="1">
      <alignment horizontal="center" vertical="center" wrapText="1"/>
    </xf>
    <xf numFmtId="169" fontId="7" fillId="9" borderId="53" xfId="0" applyNumberFormat="1" applyFont="1" applyFill="1" applyBorder="1" applyAlignment="1">
      <alignment horizontal="center" vertical="center" wrapText="1"/>
    </xf>
    <xf numFmtId="167" fontId="7" fillId="14" borderId="59" xfId="0" applyNumberFormat="1" applyFont="1" applyFill="1" applyBorder="1" applyAlignment="1">
      <alignment horizontal="center" vertical="center" wrapText="1"/>
    </xf>
    <xf numFmtId="168" fontId="7" fillId="14" borderId="59" xfId="0" applyNumberFormat="1" applyFont="1" applyFill="1" applyBorder="1" applyAlignment="1">
      <alignment horizontal="center" vertical="center" wrapText="1"/>
    </xf>
    <xf numFmtId="168" fontId="8" fillId="14" borderId="60" xfId="0" applyNumberFormat="1" applyFont="1" applyFill="1" applyBorder="1" applyAlignment="1">
      <alignment vertical="center" wrapText="1"/>
    </xf>
    <xf numFmtId="167" fontId="7" fillId="10" borderId="2" xfId="0" applyNumberFormat="1" applyFont="1" applyFill="1" applyBorder="1" applyAlignment="1">
      <alignment horizontal="center" vertical="center" wrapText="1"/>
    </xf>
    <xf numFmtId="172" fontId="0" fillId="7" borderId="2" xfId="0" applyNumberFormat="1" applyFill="1" applyBorder="1" applyAlignment="1">
      <alignment horizontal="center" vertical="center"/>
    </xf>
    <xf numFmtId="164" fontId="0" fillId="7" borderId="2" xfId="0" applyFill="1" applyBorder="1" applyAlignment="1">
      <alignment horizontal="center" vertical="center"/>
    </xf>
    <xf numFmtId="167" fontId="0" fillId="7" borderId="2" xfId="0" applyNumberFormat="1" applyFill="1" applyBorder="1" applyAlignment="1">
      <alignment horizontal="center" vertical="center"/>
    </xf>
    <xf numFmtId="170" fontId="0" fillId="7" borderId="2" xfId="0" applyNumberFormat="1" applyFill="1" applyBorder="1" applyAlignment="1">
      <alignment horizontal="center" vertical="center"/>
    </xf>
    <xf numFmtId="164" fontId="0" fillId="2" borderId="2" xfId="0" applyFill="1" applyBorder="1" applyAlignment="1">
      <alignment horizontal="center" vertical="center"/>
    </xf>
    <xf numFmtId="164" fontId="0" fillId="3" borderId="2" xfId="0" applyFill="1" applyBorder="1" applyAlignment="1">
      <alignment horizontal="center" vertical="center"/>
    </xf>
    <xf numFmtId="170" fontId="0" fillId="15" borderId="2" xfId="0" applyNumberFormat="1" applyFill="1" applyBorder="1" applyAlignment="1">
      <alignment horizontal="center" vertical="center"/>
    </xf>
    <xf numFmtId="164" fontId="0" fillId="4" borderId="2" xfId="0" applyFill="1" applyBorder="1" applyAlignment="1">
      <alignment horizontal="center" vertical="center"/>
    </xf>
    <xf numFmtId="170" fontId="0" fillId="4" borderId="2" xfId="0" applyNumberFormat="1" applyFill="1" applyBorder="1" applyAlignment="1">
      <alignment horizontal="center" vertical="center"/>
    </xf>
    <xf numFmtId="170" fontId="0" fillId="4" borderId="3" xfId="0" applyNumberFormat="1" applyFill="1" applyBorder="1" applyAlignment="1">
      <alignment horizontal="center" vertical="center"/>
    </xf>
    <xf numFmtId="170" fontId="0" fillId="5" borderId="3" xfId="0" applyNumberFormat="1" applyFill="1" applyBorder="1" applyAlignment="1">
      <alignment horizontal="center" vertical="center"/>
    </xf>
    <xf numFmtId="167" fontId="0" fillId="6" borderId="2" xfId="0" applyNumberFormat="1" applyFont="1" applyFill="1" applyBorder="1" applyAlignment="1">
      <alignment horizontal="center" vertical="center"/>
    </xf>
    <xf numFmtId="164" fontId="7" fillId="7" borderId="2" xfId="0" applyFont="1" applyFill="1" applyBorder="1" applyAlignment="1">
      <alignment horizontal="center" vertical="center"/>
    </xf>
    <xf numFmtId="164" fontId="6" fillId="7" borderId="22" xfId="0" applyFont="1" applyFill="1" applyBorder="1" applyAlignment="1">
      <alignment horizontal="center" vertical="center" wrapText="1"/>
    </xf>
    <xf numFmtId="167" fontId="7" fillId="5" borderId="59" xfId="0" applyNumberFormat="1" applyFont="1" applyFill="1" applyBorder="1" applyAlignment="1">
      <alignment horizontal="center" vertical="center" wrapText="1"/>
    </xf>
    <xf numFmtId="168" fontId="7" fillId="5" borderId="59" xfId="0" applyNumberFormat="1" applyFont="1" applyFill="1" applyBorder="1" applyAlignment="1">
      <alignment horizontal="center" vertical="center" wrapText="1"/>
    </xf>
    <xf numFmtId="169" fontId="7" fillId="9" borderId="61" xfId="0" applyNumberFormat="1" applyFont="1" applyFill="1" applyBorder="1" applyAlignment="1">
      <alignment horizontal="center" vertical="center" wrapText="1"/>
    </xf>
    <xf numFmtId="172" fontId="0" fillId="7" borderId="22" xfId="0" applyNumberFormat="1" applyFill="1" applyBorder="1" applyAlignment="1">
      <alignment horizontal="center" vertical="center"/>
    </xf>
    <xf numFmtId="164" fontId="0" fillId="2" borderId="22" xfId="0" applyFill="1" applyBorder="1" applyAlignment="1">
      <alignment horizontal="center" vertical="center"/>
    </xf>
    <xf numFmtId="164" fontId="0" fillId="3" borderId="22" xfId="0" applyFill="1" applyBorder="1" applyAlignment="1">
      <alignment horizontal="center" vertical="center"/>
    </xf>
    <xf numFmtId="167" fontId="0" fillId="6" borderId="22" xfId="0" applyNumberFormat="1" applyFont="1" applyFill="1" applyBorder="1" applyAlignment="1">
      <alignment horizontal="center" vertical="center"/>
    </xf>
    <xf numFmtId="172" fontId="0" fillId="7" borderId="15" xfId="0" applyNumberFormat="1" applyFill="1" applyBorder="1" applyAlignment="1">
      <alignment horizontal="center" vertical="center"/>
    </xf>
    <xf numFmtId="164" fontId="0" fillId="0" borderId="62" xfId="0" applyBorder="1" applyAlignment="1">
      <alignment horizontal="center" vertical="center" wrapText="1"/>
    </xf>
    <xf numFmtId="164" fontId="7" fillId="7" borderId="44" xfId="0" applyFont="1" applyFill="1" applyBorder="1" applyAlignment="1">
      <alignment horizontal="center" vertical="center"/>
    </xf>
    <xf numFmtId="167" fontId="7" fillId="10" borderId="63" xfId="0" applyNumberFormat="1" applyFont="1" applyFill="1" applyBorder="1" applyAlignment="1">
      <alignment horizontal="center" vertical="center" wrapText="1"/>
    </xf>
    <xf numFmtId="172" fontId="0" fillId="7" borderId="14" xfId="0" applyNumberFormat="1" applyFill="1" applyBorder="1" applyAlignment="1">
      <alignment horizontal="center" vertical="center"/>
    </xf>
    <xf numFmtId="164" fontId="0" fillId="17" borderId="14" xfId="0" applyFill="1" applyBorder="1" applyAlignment="1">
      <alignment horizontal="center" vertical="center"/>
    </xf>
    <xf numFmtId="170" fontId="0" fillId="15" borderId="14" xfId="0" applyNumberFormat="1" applyFill="1" applyBorder="1" applyAlignment="1">
      <alignment horizontal="center" vertical="center"/>
    </xf>
    <xf numFmtId="170" fontId="0" fillId="3" borderId="14" xfId="0" applyNumberFormat="1" applyFill="1" applyBorder="1" applyAlignment="1">
      <alignment horizontal="center" vertical="center"/>
    </xf>
    <xf numFmtId="167" fontId="0" fillId="4" borderId="14" xfId="0" applyNumberFormat="1" applyFill="1" applyBorder="1" applyAlignment="1">
      <alignment horizontal="center" vertical="center"/>
    </xf>
    <xf numFmtId="167" fontId="0" fillId="13" borderId="14" xfId="0" applyNumberFormat="1" applyFill="1" applyBorder="1" applyAlignment="1">
      <alignment horizontal="center" vertical="center"/>
    </xf>
    <xf numFmtId="170" fontId="0" fillId="6" borderId="14" xfId="0" applyNumberFormat="1" applyFont="1" applyFill="1" applyBorder="1" applyAlignment="1">
      <alignment horizontal="center" vertical="center"/>
    </xf>
    <xf numFmtId="164" fontId="7" fillId="7" borderId="0" xfId="0" applyFont="1" applyFill="1" applyBorder="1" applyAlignment="1">
      <alignment horizontal="center" vertical="center"/>
    </xf>
    <xf numFmtId="164" fontId="0" fillId="0" borderId="37" xfId="0" applyBorder="1" applyAlignment="1">
      <alignment/>
    </xf>
    <xf numFmtId="170" fontId="0" fillId="0" borderId="0" xfId="0" applyNumberFormat="1" applyBorder="1" applyAlignment="1">
      <alignment horizontal="center"/>
    </xf>
    <xf numFmtId="164" fontId="0" fillId="0" borderId="64" xfId="0" applyBorder="1" applyAlignment="1">
      <alignment horizontal="center" vertical="center" wrapText="1"/>
    </xf>
    <xf numFmtId="164" fontId="7" fillId="7" borderId="45" xfId="0" applyFont="1" applyFill="1" applyBorder="1" applyAlignment="1">
      <alignment horizontal="center" vertical="center"/>
    </xf>
    <xf numFmtId="167" fontId="7" fillId="10" borderId="45" xfId="0" applyNumberFormat="1" applyFont="1" applyFill="1" applyBorder="1" applyAlignment="1">
      <alignment horizontal="center" vertical="center" wrapText="1"/>
    </xf>
    <xf numFmtId="164" fontId="0" fillId="17" borderId="15" xfId="0" applyFill="1" applyBorder="1" applyAlignment="1">
      <alignment horizontal="center" vertical="center"/>
    </xf>
    <xf numFmtId="167" fontId="0" fillId="4" borderId="15" xfId="0" applyNumberFormat="1" applyFill="1" applyBorder="1" applyAlignment="1">
      <alignment horizontal="center" vertical="center"/>
    </xf>
    <xf numFmtId="164" fontId="7" fillId="7" borderId="46" xfId="0" applyFont="1" applyFill="1" applyBorder="1" applyAlignment="1">
      <alignment horizontal="center" vertical="center"/>
    </xf>
    <xf numFmtId="164" fontId="0" fillId="0" borderId="65" xfId="0" applyBorder="1" applyAlignment="1">
      <alignment horizontal="center" vertical="center" wrapText="1"/>
    </xf>
    <xf numFmtId="169" fontId="7" fillId="14" borderId="56" xfId="0" applyNumberFormat="1" applyFont="1" applyFill="1" applyBorder="1" applyAlignment="1">
      <alignment vertical="center" wrapText="1"/>
    </xf>
    <xf numFmtId="167" fontId="7" fillId="10" borderId="46" xfId="0" applyNumberFormat="1" applyFont="1" applyFill="1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7" fillId="18" borderId="44" xfId="0" applyFont="1" applyFill="1" applyBorder="1" applyAlignment="1">
      <alignment horizontal="center" vertical="center"/>
    </xf>
    <xf numFmtId="168" fontId="7" fillId="9" borderId="66" xfId="0" applyNumberFormat="1" applyFont="1" applyFill="1" applyBorder="1" applyAlignment="1">
      <alignment horizontal="center" vertical="center" wrapText="1"/>
    </xf>
    <xf numFmtId="169" fontId="7" fillId="9" borderId="67" xfId="0" applyNumberFormat="1" applyFont="1" applyFill="1" applyBorder="1" applyAlignment="1">
      <alignment horizontal="center" vertical="center" wrapText="1"/>
    </xf>
    <xf numFmtId="167" fontId="7" fillId="10" borderId="68" xfId="0" applyNumberFormat="1" applyFont="1" applyFill="1" applyBorder="1" applyAlignment="1">
      <alignment horizontal="center" vertical="center" wrapText="1"/>
    </xf>
    <xf numFmtId="172" fontId="0" fillId="7" borderId="13" xfId="0" applyNumberFormat="1" applyFill="1" applyBorder="1" applyAlignment="1">
      <alignment horizontal="center" vertical="center"/>
    </xf>
    <xf numFmtId="164" fontId="0" fillId="17" borderId="13" xfId="0" applyFill="1" applyBorder="1" applyAlignment="1">
      <alignment horizontal="center" vertical="center"/>
    </xf>
    <xf numFmtId="170" fontId="0" fillId="15" borderId="13" xfId="0" applyNumberFormat="1" applyFill="1" applyBorder="1" applyAlignment="1">
      <alignment horizontal="center" vertical="center"/>
    </xf>
    <xf numFmtId="167" fontId="0" fillId="4" borderId="13" xfId="0" applyNumberFormat="1" applyFill="1" applyBorder="1" applyAlignment="1">
      <alignment horizontal="center" vertical="center"/>
    </xf>
    <xf numFmtId="167" fontId="0" fillId="6" borderId="13" xfId="0" applyNumberFormat="1" applyFont="1" applyFill="1" applyBorder="1" applyAlignment="1">
      <alignment horizontal="center" vertical="center"/>
    </xf>
    <xf numFmtId="164" fontId="0" fillId="0" borderId="27" xfId="0" applyBorder="1" applyAlignment="1">
      <alignment horizontal="center" vertical="center" wrapText="1"/>
    </xf>
    <xf numFmtId="164" fontId="7" fillId="18" borderId="45" xfId="0" applyFont="1" applyFill="1" applyBorder="1" applyAlignment="1">
      <alignment horizontal="center" vertical="center"/>
    </xf>
    <xf numFmtId="167" fontId="7" fillId="10" borderId="69" xfId="0" applyNumberFormat="1" applyFont="1" applyFill="1" applyBorder="1" applyAlignment="1">
      <alignment horizontal="center" vertical="center" wrapText="1"/>
    </xf>
    <xf numFmtId="164" fontId="0" fillId="0" borderId="34" xfId="0" applyBorder="1" applyAlignment="1">
      <alignment horizontal="center" vertical="center" wrapText="1"/>
    </xf>
    <xf numFmtId="164" fontId="7" fillId="7" borderId="48" xfId="0" applyFont="1" applyFill="1" applyBorder="1" applyAlignment="1">
      <alignment horizontal="center" vertical="center"/>
    </xf>
    <xf numFmtId="167" fontId="7" fillId="10" borderId="70" xfId="0" applyNumberFormat="1" applyFont="1" applyFill="1" applyBorder="1" applyAlignment="1">
      <alignment horizontal="center" vertical="center" wrapText="1"/>
    </xf>
    <xf numFmtId="164" fontId="12" fillId="0" borderId="58" xfId="0" applyFont="1" applyBorder="1" applyAlignment="1">
      <alignment horizontal="center" vertical="center" wrapText="1"/>
    </xf>
    <xf numFmtId="168" fontId="8" fillId="14" borderId="67" xfId="0" applyNumberFormat="1" applyFont="1" applyFill="1" applyBorder="1" applyAlignment="1">
      <alignment horizontal="center" vertical="center" wrapText="1"/>
    </xf>
    <xf numFmtId="174" fontId="0" fillId="7" borderId="14" xfId="0" applyNumberFormat="1" applyFill="1" applyBorder="1" applyAlignment="1">
      <alignment horizontal="center" vertical="center"/>
    </xf>
    <xf numFmtId="167" fontId="0" fillId="12" borderId="14" xfId="0" applyNumberFormat="1" applyFill="1" applyBorder="1" applyAlignment="1">
      <alignment horizontal="center" vertical="center"/>
    </xf>
    <xf numFmtId="164" fontId="0" fillId="0" borderId="3" xfId="0" applyBorder="1" applyAlignment="1">
      <alignment/>
    </xf>
    <xf numFmtId="170" fontId="0" fillId="0" borderId="3" xfId="0" applyNumberFormat="1" applyBorder="1" applyAlignment="1">
      <alignment horizontal="center"/>
    </xf>
    <xf numFmtId="170" fontId="0" fillId="0" borderId="71" xfId="0" applyNumberFormat="1" applyBorder="1" applyAlignment="1">
      <alignment horizontal="center"/>
    </xf>
    <xf numFmtId="164" fontId="12" fillId="0" borderId="37" xfId="0" applyFont="1" applyBorder="1" applyAlignment="1">
      <alignment horizontal="center" vertical="center" wrapText="1"/>
    </xf>
    <xf numFmtId="174" fontId="0" fillId="7" borderId="15" xfId="0" applyNumberFormat="1" applyFill="1" applyBorder="1" applyAlignment="1">
      <alignment horizontal="center" vertical="center"/>
    </xf>
    <xf numFmtId="164" fontId="0" fillId="0" borderId="72" xfId="0" applyBorder="1" applyAlignment="1">
      <alignment/>
    </xf>
    <xf numFmtId="170" fontId="0" fillId="0" borderId="72" xfId="0" applyNumberFormat="1" applyBorder="1" applyAlignment="1">
      <alignment horizontal="center"/>
    </xf>
    <xf numFmtId="170" fontId="0" fillId="0" borderId="73" xfId="0" applyNumberFormat="1" applyBorder="1" applyAlignment="1">
      <alignment horizontal="center"/>
    </xf>
    <xf numFmtId="170" fontId="0" fillId="4" borderId="29" xfId="0" applyNumberFormat="1" applyFill="1" applyBorder="1" applyAlignment="1">
      <alignment horizontal="center" vertical="center"/>
    </xf>
    <xf numFmtId="170" fontId="0" fillId="7" borderId="0" xfId="0" applyNumberFormat="1" applyFill="1" applyBorder="1" applyAlignment="1">
      <alignment horizontal="center" vertical="center"/>
    </xf>
    <xf numFmtId="164" fontId="0" fillId="7" borderId="0" xfId="0" applyFill="1" applyAlignment="1">
      <alignment/>
    </xf>
    <xf numFmtId="167" fontId="0" fillId="13" borderId="29" xfId="0" applyNumberFormat="1" applyFill="1" applyBorder="1" applyAlignment="1">
      <alignment horizontal="center" vertical="center"/>
    </xf>
    <xf numFmtId="164" fontId="0" fillId="0" borderId="74" xfId="0" applyBorder="1" applyAlignment="1">
      <alignment/>
    </xf>
    <xf numFmtId="170" fontId="0" fillId="0" borderId="74" xfId="0" applyNumberFormat="1" applyBorder="1" applyAlignment="1">
      <alignment horizontal="center"/>
    </xf>
    <xf numFmtId="167" fontId="0" fillId="12" borderId="22" xfId="0" applyNumberFormat="1" applyFill="1" applyBorder="1" applyAlignment="1">
      <alignment horizontal="center" vertical="center"/>
    </xf>
    <xf numFmtId="167" fontId="13" fillId="0" borderId="0" xfId="0" applyNumberFormat="1" applyFont="1" applyAlignment="1">
      <alignment horizontal="center" vertical="center"/>
    </xf>
    <xf numFmtId="164" fontId="13" fillId="0" borderId="0" xfId="0" applyFont="1" applyAlignment="1">
      <alignment horizontal="center"/>
    </xf>
    <xf numFmtId="167" fontId="13" fillId="0" borderId="0" xfId="0" applyNumberFormat="1" applyFont="1" applyAlignment="1">
      <alignment horizontal="center"/>
    </xf>
    <xf numFmtId="170" fontId="13" fillId="0" borderId="0" xfId="0" applyNumberFormat="1" applyFont="1" applyAlignment="1">
      <alignment horizontal="center"/>
    </xf>
    <xf numFmtId="164" fontId="14" fillId="0" borderId="0" xfId="0" applyFont="1" applyAlignment="1">
      <alignment/>
    </xf>
    <xf numFmtId="167" fontId="0" fillId="0" borderId="0" xfId="0" applyNumberFormat="1" applyAlignment="1">
      <alignment/>
    </xf>
    <xf numFmtId="164" fontId="0" fillId="18" borderId="0" xfId="0" applyFill="1" applyAlignment="1">
      <alignment/>
    </xf>
    <xf numFmtId="164" fontId="0" fillId="7" borderId="0" xfId="0" applyFont="1" applyFill="1" applyAlignment="1">
      <alignment/>
    </xf>
    <xf numFmtId="164" fontId="15" fillId="7" borderId="31" xfId="0" applyFont="1" applyFill="1" applyBorder="1" applyAlignment="1">
      <alignment horizontal="center" vertical="center"/>
    </xf>
    <xf numFmtId="164" fontId="0" fillId="7" borderId="75" xfId="0" applyFont="1" applyFill="1" applyBorder="1" applyAlignment="1">
      <alignment horizontal="center"/>
    </xf>
    <xf numFmtId="167" fontId="0" fillId="7" borderId="76" xfId="0" applyNumberFormat="1" applyFill="1" applyBorder="1" applyAlignment="1">
      <alignment/>
    </xf>
    <xf numFmtId="167" fontId="0" fillId="7" borderId="0" xfId="0" applyNumberFormat="1" applyFill="1" applyBorder="1" applyAlignment="1">
      <alignment/>
    </xf>
    <xf numFmtId="164" fontId="0" fillId="7" borderId="77" xfId="0" applyFont="1" applyFill="1" applyBorder="1" applyAlignment="1">
      <alignment horizontal="center"/>
    </xf>
    <xf numFmtId="167" fontId="0" fillId="7" borderId="78" xfId="0" applyNumberFormat="1" applyFill="1" applyBorder="1" applyAlignment="1">
      <alignment/>
    </xf>
    <xf numFmtId="164" fontId="0" fillId="16" borderId="0" xfId="0" applyFill="1" applyAlignment="1">
      <alignment/>
    </xf>
    <xf numFmtId="164" fontId="0" fillId="14" borderId="0" xfId="0" applyFill="1" applyAlignment="1">
      <alignment/>
    </xf>
    <xf numFmtId="164" fontId="16" fillId="7" borderId="0" xfId="0" applyFont="1" applyFill="1" applyAlignment="1">
      <alignment vertical="center"/>
    </xf>
    <xf numFmtId="164" fontId="0" fillId="7" borderId="77" xfId="0" applyFill="1" applyBorder="1" applyAlignment="1">
      <alignment horizontal="center"/>
    </xf>
    <xf numFmtId="164" fontId="0" fillId="7" borderId="78" xfId="0" applyFill="1" applyBorder="1" applyAlignment="1">
      <alignment/>
    </xf>
    <xf numFmtId="164" fontId="0" fillId="7" borderId="0" xfId="0" applyFill="1" applyBorder="1" applyAlignment="1">
      <alignment/>
    </xf>
    <xf numFmtId="164" fontId="0" fillId="19" borderId="0" xfId="0" applyFill="1" applyAlignment="1">
      <alignment/>
    </xf>
    <xf numFmtId="164" fontId="16" fillId="7" borderId="0" xfId="0" applyFont="1" applyFill="1" applyAlignment="1">
      <alignment horizontal="left" vertical="center" indent="5"/>
    </xf>
    <xf numFmtId="164" fontId="15" fillId="7" borderId="79" xfId="0" applyFont="1" applyFill="1" applyBorder="1" applyAlignment="1">
      <alignment horizontal="center"/>
    </xf>
    <xf numFmtId="167" fontId="15" fillId="7" borderId="80" xfId="0" applyNumberFormat="1" applyFont="1" applyFill="1" applyBorder="1" applyAlignment="1">
      <alignment/>
    </xf>
    <xf numFmtId="167" fontId="15" fillId="7" borderId="0" xfId="0" applyNumberFormat="1" applyFont="1" applyFill="1" applyBorder="1" applyAlignment="1">
      <alignment/>
    </xf>
    <xf numFmtId="164" fontId="0" fillId="20" borderId="0" xfId="0" applyFill="1" applyAlignment="1">
      <alignment/>
    </xf>
    <xf numFmtId="164" fontId="16" fillId="0" borderId="0" xfId="0" applyFont="1" applyAlignment="1">
      <alignment horizontal="left" vertical="center" indent="5"/>
    </xf>
    <xf numFmtId="164" fontId="0" fillId="0" borderId="0" xfId="0" applyAlignment="1">
      <alignment horizontal="center"/>
    </xf>
    <xf numFmtId="164" fontId="0" fillId="21" borderId="0" xfId="0" applyFill="1" applyAlignment="1">
      <alignment/>
    </xf>
    <xf numFmtId="164" fontId="15" fillId="22" borderId="31" xfId="0" applyFont="1" applyFill="1" applyBorder="1" applyAlignment="1">
      <alignment horizontal="center" vertical="center"/>
    </xf>
    <xf numFmtId="164" fontId="0" fillId="0" borderId="81" xfId="0" applyFont="1" applyBorder="1" applyAlignment="1">
      <alignment horizontal="center"/>
    </xf>
    <xf numFmtId="167" fontId="0" fillId="0" borderId="76" xfId="0" applyNumberFormat="1" applyBorder="1" applyAlignment="1">
      <alignment/>
    </xf>
    <xf numFmtId="167" fontId="0" fillId="0" borderId="0" xfId="0" applyNumberFormat="1" applyBorder="1" applyAlignment="1">
      <alignment/>
    </xf>
    <xf numFmtId="164" fontId="0" fillId="0" borderId="82" xfId="0" applyFont="1" applyBorder="1" applyAlignment="1">
      <alignment horizontal="center"/>
    </xf>
    <xf numFmtId="167" fontId="0" fillId="0" borderId="78" xfId="0" applyNumberFormat="1" applyBorder="1" applyAlignment="1">
      <alignment/>
    </xf>
    <xf numFmtId="164" fontId="0" fillId="0" borderId="82" xfId="0" applyBorder="1" applyAlignment="1">
      <alignment horizontal="center"/>
    </xf>
    <xf numFmtId="164" fontId="0" fillId="0" borderId="78" xfId="0" applyBorder="1" applyAlignment="1">
      <alignment/>
    </xf>
    <xf numFmtId="164" fontId="0" fillId="0" borderId="0" xfId="0" applyBorder="1" applyAlignment="1">
      <alignment/>
    </xf>
    <xf numFmtId="164" fontId="17" fillId="0" borderId="83" xfId="0" applyFont="1" applyBorder="1" applyAlignment="1">
      <alignment horizontal="center"/>
    </xf>
    <xf numFmtId="167" fontId="5" fillId="0" borderId="8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20" fillId="0" borderId="16" xfId="0" applyFont="1" applyBorder="1" applyAlignment="1">
      <alignment horizontal="center"/>
    </xf>
    <xf numFmtId="164" fontId="20" fillId="0" borderId="84" xfId="0" applyFont="1" applyBorder="1" applyAlignment="1">
      <alignment horizontal="center"/>
    </xf>
    <xf numFmtId="166" fontId="2" fillId="2" borderId="85" xfId="0" applyNumberFormat="1" applyFont="1" applyFill="1" applyBorder="1" applyAlignment="1">
      <alignment horizontal="center" vertical="center"/>
    </xf>
    <xf numFmtId="166" fontId="2" fillId="2" borderId="86" xfId="0" applyNumberFormat="1" applyFont="1" applyFill="1" applyBorder="1" applyAlignment="1">
      <alignment horizontal="center" vertical="center"/>
    </xf>
    <xf numFmtId="166" fontId="2" fillId="2" borderId="71" xfId="0" applyNumberFormat="1" applyFont="1" applyFill="1" applyBorder="1" applyAlignment="1">
      <alignment horizontal="center" vertical="center"/>
    </xf>
    <xf numFmtId="167" fontId="3" fillId="10" borderId="84" xfId="0" applyNumberFormat="1" applyFont="1" applyFill="1" applyBorder="1" applyAlignment="1">
      <alignment horizontal="center" vertical="center" wrapText="1"/>
    </xf>
    <xf numFmtId="167" fontId="3" fillId="3" borderId="17" xfId="0" applyNumberFormat="1" applyFont="1" applyFill="1" applyBorder="1" applyAlignment="1">
      <alignment horizontal="center" vertical="center" wrapText="1"/>
    </xf>
    <xf numFmtId="167" fontId="3" fillId="4" borderId="17" xfId="0" applyNumberFormat="1" applyFont="1" applyFill="1" applyBorder="1" applyAlignment="1">
      <alignment horizontal="center" vertical="center" wrapText="1"/>
    </xf>
    <xf numFmtId="167" fontId="3" fillId="23" borderId="17" xfId="0" applyNumberFormat="1" applyFont="1" applyFill="1" applyBorder="1" applyAlignment="1">
      <alignment horizontal="center" vertical="center" wrapText="1"/>
    </xf>
    <xf numFmtId="164" fontId="3" fillId="5" borderId="17" xfId="0" applyFont="1" applyFill="1" applyBorder="1" applyAlignment="1">
      <alignment horizontal="center" vertical="center" wrapText="1"/>
    </xf>
    <xf numFmtId="164" fontId="3" fillId="24" borderId="17" xfId="0" applyFont="1" applyFill="1" applyBorder="1" applyAlignment="1">
      <alignment horizontal="center" vertical="center" wrapText="1"/>
    </xf>
    <xf numFmtId="164" fontId="4" fillId="6" borderId="17" xfId="0" applyFont="1" applyFill="1" applyBorder="1" applyAlignment="1">
      <alignment horizontal="center" vertical="center" wrapText="1"/>
    </xf>
    <xf numFmtId="167" fontId="21" fillId="9" borderId="87" xfId="0" applyNumberFormat="1" applyFont="1" applyFill="1" applyBorder="1" applyAlignment="1">
      <alignment horizontal="center" vertical="center"/>
    </xf>
    <xf numFmtId="167" fontId="21" fillId="7" borderId="17" xfId="0" applyNumberFormat="1" applyFont="1" applyFill="1" applyBorder="1" applyAlignment="1">
      <alignment horizontal="center" vertical="center"/>
    </xf>
    <xf numFmtId="164" fontId="4" fillId="6" borderId="88" xfId="0" applyFont="1" applyFill="1" applyBorder="1" applyAlignment="1">
      <alignment horizontal="center" vertical="center" wrapText="1"/>
    </xf>
    <xf numFmtId="167" fontId="3" fillId="8" borderId="31" xfId="0" applyNumberFormat="1" applyFont="1" applyFill="1" applyBorder="1" applyAlignment="1">
      <alignment horizontal="center" vertical="center" wrapText="1"/>
    </xf>
    <xf numFmtId="167" fontId="3" fillId="8" borderId="0" xfId="0" applyNumberFormat="1" applyFont="1" applyFill="1" applyBorder="1" applyAlignment="1">
      <alignment horizontal="center" vertical="center" wrapText="1"/>
    </xf>
    <xf numFmtId="167" fontId="3" fillId="2" borderId="30" xfId="0" applyNumberFormat="1" applyFont="1" applyFill="1" applyBorder="1" applyAlignment="1">
      <alignment horizontal="center" vertical="center" wrapText="1"/>
    </xf>
    <xf numFmtId="167" fontId="3" fillId="2" borderId="89" xfId="0" applyNumberFormat="1" applyFont="1" applyFill="1" applyBorder="1" applyAlignment="1">
      <alignment horizontal="center" vertical="center" wrapText="1"/>
    </xf>
    <xf numFmtId="167" fontId="3" fillId="2" borderId="90" xfId="0" applyNumberFormat="1" applyFont="1" applyFill="1" applyBorder="1" applyAlignment="1">
      <alignment horizontal="center" vertical="center" wrapText="1"/>
    </xf>
    <xf numFmtId="167" fontId="3" fillId="2" borderId="32" xfId="0" applyNumberFormat="1" applyFont="1" applyFill="1" applyBorder="1" applyAlignment="1">
      <alignment horizontal="center" vertical="center" wrapText="1"/>
    </xf>
    <xf numFmtId="167" fontId="3" fillId="2" borderId="31" xfId="0" applyNumberFormat="1" applyFont="1" applyFill="1" applyBorder="1" applyAlignment="1">
      <alignment horizontal="center" vertical="center" wrapText="1"/>
    </xf>
    <xf numFmtId="167" fontId="3" fillId="10" borderId="90" xfId="0" applyNumberFormat="1" applyFont="1" applyFill="1" applyBorder="1" applyAlignment="1">
      <alignment horizontal="center" vertical="center" wrapText="1"/>
    </xf>
    <xf numFmtId="167" fontId="3" fillId="10" borderId="31" xfId="0" applyNumberFormat="1" applyFont="1" applyFill="1" applyBorder="1" applyAlignment="1">
      <alignment horizontal="center" vertical="center" wrapText="1"/>
    </xf>
    <xf numFmtId="167" fontId="3" fillId="3" borderId="31" xfId="0" applyNumberFormat="1" applyFont="1" applyFill="1" applyBorder="1" applyAlignment="1">
      <alignment horizontal="center" vertical="center" wrapText="1"/>
    </xf>
    <xf numFmtId="167" fontId="3" fillId="4" borderId="31" xfId="0" applyNumberFormat="1" applyFont="1" applyFill="1" applyBorder="1" applyAlignment="1">
      <alignment horizontal="center" vertical="center" wrapText="1"/>
    </xf>
    <xf numFmtId="167" fontId="3" fillId="23" borderId="31" xfId="0" applyNumberFormat="1" applyFont="1" applyFill="1" applyBorder="1" applyAlignment="1">
      <alignment horizontal="center" vertical="center" wrapText="1"/>
    </xf>
    <xf numFmtId="167" fontId="3" fillId="5" borderId="31" xfId="0" applyNumberFormat="1" applyFont="1" applyFill="1" applyBorder="1" applyAlignment="1">
      <alignment horizontal="center" vertical="center" wrapText="1"/>
    </xf>
    <xf numFmtId="167" fontId="3" fillId="24" borderId="31" xfId="0" applyNumberFormat="1" applyFont="1" applyFill="1" applyBorder="1" applyAlignment="1">
      <alignment horizontal="center" vertical="center" wrapText="1"/>
    </xf>
    <xf numFmtId="164" fontId="0" fillId="7" borderId="31" xfId="0" applyFill="1" applyBorder="1" applyAlignment="1">
      <alignment horizontal="center" vertical="center"/>
    </xf>
    <xf numFmtId="164" fontId="22" fillId="0" borderId="30" xfId="0" applyFont="1" applyBorder="1" applyAlignment="1">
      <alignment horizontal="center" vertical="center" textRotation="90"/>
    </xf>
    <xf numFmtId="164" fontId="23" fillId="7" borderId="31" xfId="0" applyFont="1" applyFill="1" applyBorder="1" applyAlignment="1">
      <alignment horizontal="center" vertical="center" wrapText="1"/>
    </xf>
    <xf numFmtId="164" fontId="7" fillId="7" borderId="31" xfId="0" applyFont="1" applyFill="1" applyBorder="1" applyAlignment="1">
      <alignment horizontal="center" vertical="center" wrapText="1"/>
    </xf>
    <xf numFmtId="164" fontId="7" fillId="14" borderId="31" xfId="0" applyFont="1" applyFill="1" applyBorder="1" applyAlignment="1">
      <alignment horizontal="center" vertical="center" wrapText="1"/>
    </xf>
    <xf numFmtId="167" fontId="7" fillId="14" borderId="31" xfId="0" applyNumberFormat="1" applyFont="1" applyFill="1" applyBorder="1" applyAlignment="1">
      <alignment horizontal="center" vertical="center" wrapText="1"/>
    </xf>
    <xf numFmtId="167" fontId="7" fillId="6" borderId="31" xfId="0" applyNumberFormat="1" applyFont="1" applyFill="1" applyBorder="1" applyAlignment="1">
      <alignment horizontal="center" vertical="center" wrapText="1"/>
    </xf>
    <xf numFmtId="168" fontId="7" fillId="14" borderId="31" xfId="0" applyNumberFormat="1" applyFont="1" applyFill="1" applyBorder="1" applyAlignment="1">
      <alignment horizontal="center" vertical="center" wrapText="1"/>
    </xf>
    <xf numFmtId="167" fontId="7" fillId="7" borderId="31" xfId="0" applyNumberFormat="1" applyFont="1" applyFill="1" applyBorder="1" applyAlignment="1">
      <alignment horizontal="center" vertical="center" wrapText="1"/>
    </xf>
    <xf numFmtId="167" fontId="3" fillId="7" borderId="30" xfId="0" applyNumberFormat="1" applyFont="1" applyFill="1" applyBorder="1" applyAlignment="1">
      <alignment horizontal="center" vertical="center" wrapText="1"/>
    </xf>
    <xf numFmtId="164" fontId="0" fillId="0" borderId="31" xfId="0" applyBorder="1" applyAlignment="1">
      <alignment horizontal="center" vertical="center"/>
    </xf>
    <xf numFmtId="164" fontId="0" fillId="0" borderId="89" xfId="0" applyBorder="1" applyAlignment="1">
      <alignment horizontal="center" vertical="center"/>
    </xf>
    <xf numFmtId="164" fontId="0" fillId="10" borderId="31" xfId="0" applyFill="1" applyBorder="1" applyAlignment="1">
      <alignment horizontal="center" vertical="center"/>
    </xf>
    <xf numFmtId="167" fontId="3" fillId="15" borderId="31" xfId="0" applyNumberFormat="1" applyFont="1" applyFill="1" applyBorder="1" applyAlignment="1">
      <alignment horizontal="center" vertical="center" wrapText="1"/>
    </xf>
    <xf numFmtId="167" fontId="3" fillId="12" borderId="31" xfId="0" applyNumberFormat="1" applyFont="1" applyFill="1" applyBorder="1" applyAlignment="1">
      <alignment horizontal="center" vertical="center" wrapText="1"/>
    </xf>
    <xf numFmtId="167" fontId="3" fillId="25" borderId="31" xfId="0" applyNumberFormat="1" applyFont="1" applyFill="1" applyBorder="1" applyAlignment="1">
      <alignment horizontal="center" vertical="center" wrapText="1"/>
    </xf>
    <xf numFmtId="167" fontId="3" fillId="13" borderId="31" xfId="0" applyNumberFormat="1" applyFont="1" applyFill="1" applyBorder="1" applyAlignment="1">
      <alignment horizontal="center" vertical="center" wrapText="1"/>
    </xf>
    <xf numFmtId="167" fontId="3" fillId="26" borderId="31" xfId="0" applyNumberFormat="1" applyFont="1" applyFill="1" applyBorder="1" applyAlignment="1">
      <alignment horizontal="center" vertical="center" wrapText="1"/>
    </xf>
    <xf numFmtId="164" fontId="0" fillId="6" borderId="31" xfId="0" applyFill="1" applyBorder="1" applyAlignment="1">
      <alignment horizontal="center" vertical="center"/>
    </xf>
    <xf numFmtId="167" fontId="0" fillId="6" borderId="31" xfId="0" applyNumberFormat="1" applyFill="1" applyBorder="1" applyAlignment="1">
      <alignment horizontal="center" vertical="center"/>
    </xf>
    <xf numFmtId="170" fontId="0" fillId="0" borderId="89" xfId="0" applyNumberFormat="1" applyBorder="1" applyAlignment="1">
      <alignment horizontal="center"/>
    </xf>
    <xf numFmtId="164" fontId="24" fillId="0" borderId="31" xfId="20" applyNumberFormat="1" applyFont="1" applyFill="1" applyBorder="1" applyAlignment="1" applyProtection="1">
      <alignment horizontal="center" vertical="center" wrapText="1"/>
      <protection/>
    </xf>
    <xf numFmtId="164" fontId="0" fillId="0" borderId="30" xfId="0" applyBorder="1" applyAlignment="1">
      <alignment horizontal="center" vertical="center"/>
    </xf>
    <xf numFmtId="164" fontId="0" fillId="0" borderId="31" xfId="0" applyBorder="1" applyAlignment="1">
      <alignment horizontal="center" vertical="center" wrapText="1"/>
    </xf>
    <xf numFmtId="167" fontId="7" fillId="9" borderId="31" xfId="0" applyNumberFormat="1" applyFont="1" applyFill="1" applyBorder="1" applyAlignment="1">
      <alignment horizontal="center" vertical="center" wrapText="1"/>
    </xf>
    <xf numFmtId="164" fontId="0" fillId="15" borderId="31" xfId="0" applyFill="1" applyBorder="1" applyAlignment="1">
      <alignment horizontal="center" vertical="center"/>
    </xf>
    <xf numFmtId="164" fontId="0" fillId="12" borderId="31" xfId="0" applyFill="1" applyBorder="1" applyAlignment="1">
      <alignment horizontal="center" vertical="center"/>
    </xf>
    <xf numFmtId="164" fontId="0" fillId="25" borderId="31" xfId="0" applyFill="1" applyBorder="1" applyAlignment="1">
      <alignment horizontal="center" vertical="center"/>
    </xf>
    <xf numFmtId="164" fontId="0" fillId="13" borderId="31" xfId="0" applyFill="1" applyBorder="1" applyAlignment="1">
      <alignment horizontal="center" vertical="center"/>
    </xf>
    <xf numFmtId="164" fontId="0" fillId="26" borderId="31" xfId="0" applyFill="1" applyBorder="1" applyAlignment="1">
      <alignment horizontal="center" vertical="center"/>
    </xf>
    <xf numFmtId="164" fontId="7" fillId="24" borderId="31" xfId="0" applyFont="1" applyFill="1" applyBorder="1" applyAlignment="1">
      <alignment horizontal="center" vertical="center" wrapText="1"/>
    </xf>
    <xf numFmtId="167" fontId="7" fillId="24" borderId="31" xfId="0" applyNumberFormat="1" applyFont="1" applyFill="1" applyBorder="1" applyAlignment="1">
      <alignment horizontal="center" vertical="center" wrapText="1"/>
    </xf>
    <xf numFmtId="164" fontId="0" fillId="27" borderId="31" xfId="0" applyFill="1" applyBorder="1" applyAlignment="1">
      <alignment horizontal="center" vertical="center"/>
    </xf>
    <xf numFmtId="164" fontId="0" fillId="3" borderId="31" xfId="0" applyFill="1" applyBorder="1" applyAlignment="1">
      <alignment horizontal="center" vertical="center"/>
    </xf>
    <xf numFmtId="164" fontId="23" fillId="7" borderId="31" xfId="0" applyFont="1" applyFill="1" applyBorder="1" applyAlignment="1">
      <alignment horizontal="center" vertical="center"/>
    </xf>
    <xf numFmtId="175" fontId="7" fillId="14" borderId="31" xfId="0" applyNumberFormat="1" applyFont="1" applyFill="1" applyBorder="1" applyAlignment="1">
      <alignment horizontal="center" vertical="center" wrapText="1"/>
    </xf>
    <xf numFmtId="175" fontId="25" fillId="14" borderId="31" xfId="0" applyNumberFormat="1" applyFont="1" applyFill="1" applyBorder="1" applyAlignment="1">
      <alignment horizontal="center" vertical="center" wrapText="1"/>
    </xf>
    <xf numFmtId="169" fontId="7" fillId="9" borderId="31" xfId="0" applyNumberFormat="1" applyFont="1" applyFill="1" applyBorder="1" applyAlignment="1">
      <alignment horizontal="center" vertical="center" wrapText="1"/>
    </xf>
    <xf numFmtId="164" fontId="0" fillId="4" borderId="31" xfId="0" applyFill="1" applyBorder="1" applyAlignment="1">
      <alignment horizontal="center" vertical="center"/>
    </xf>
    <xf numFmtId="164" fontId="0" fillId="23" borderId="31" xfId="0" applyFill="1" applyBorder="1" applyAlignment="1">
      <alignment horizontal="center" vertical="center"/>
    </xf>
    <xf numFmtId="164" fontId="0" fillId="28" borderId="31" xfId="0" applyFill="1" applyBorder="1" applyAlignment="1">
      <alignment horizontal="center" vertical="center"/>
    </xf>
    <xf numFmtId="164" fontId="0" fillId="29" borderId="31" xfId="0" applyFill="1" applyBorder="1" applyAlignment="1">
      <alignment horizontal="center" vertical="center"/>
    </xf>
    <xf numFmtId="164" fontId="0" fillId="30" borderId="31" xfId="0" applyFill="1" applyBorder="1" applyAlignment="1">
      <alignment horizontal="center" vertical="center"/>
    </xf>
    <xf numFmtId="164" fontId="0" fillId="31" borderId="31" xfId="0" applyFill="1" applyBorder="1" applyAlignment="1">
      <alignment horizontal="center" vertical="center"/>
    </xf>
    <xf numFmtId="164" fontId="0" fillId="32" borderId="31" xfId="0" applyFill="1" applyBorder="1" applyAlignment="1">
      <alignment horizontal="center" vertical="center"/>
    </xf>
    <xf numFmtId="164" fontId="7" fillId="7" borderId="15" xfId="0" applyFont="1" applyFill="1" applyBorder="1" applyAlignment="1">
      <alignment horizontal="center" vertical="center" wrapText="1"/>
    </xf>
    <xf numFmtId="164" fontId="7" fillId="14" borderId="15" xfId="0" applyFont="1" applyFill="1" applyBorder="1" applyAlignment="1">
      <alignment horizontal="center" vertical="center" wrapText="1"/>
    </xf>
    <xf numFmtId="175" fontId="7" fillId="14" borderId="15" xfId="0" applyNumberFormat="1" applyFont="1" applyFill="1" applyBorder="1" applyAlignment="1">
      <alignment horizontal="center" vertical="center" wrapText="1"/>
    </xf>
    <xf numFmtId="176" fontId="7" fillId="14" borderId="15" xfId="0" applyNumberFormat="1" applyFont="1" applyFill="1" applyBorder="1" applyAlignment="1">
      <alignment horizontal="center" vertical="center" wrapText="1"/>
    </xf>
    <xf numFmtId="164" fontId="7" fillId="14" borderId="14" xfId="0" applyFont="1" applyFill="1" applyBorder="1" applyAlignment="1">
      <alignment horizontal="center" vertical="center" wrapText="1"/>
    </xf>
    <xf numFmtId="167" fontId="7" fillId="14" borderId="14" xfId="0" applyNumberFormat="1" applyFont="1" applyFill="1" applyBorder="1" applyAlignment="1">
      <alignment horizontal="center" vertical="center" wrapText="1"/>
    </xf>
    <xf numFmtId="168" fontId="7" fillId="14" borderId="66" xfId="0" applyNumberFormat="1" applyFont="1" applyFill="1" applyBorder="1" applyAlignment="1">
      <alignment horizontal="center" vertical="center" wrapText="1"/>
    </xf>
    <xf numFmtId="164" fontId="7" fillId="7" borderId="0" xfId="0" applyFont="1" applyFill="1" applyBorder="1" applyAlignment="1">
      <alignment horizontal="center" vertical="center" wrapText="1"/>
    </xf>
    <xf numFmtId="164" fontId="7" fillId="2" borderId="91" xfId="0" applyFont="1" applyFill="1" applyBorder="1" applyAlignment="1">
      <alignment horizontal="center" vertical="center" wrapText="1"/>
    </xf>
    <xf numFmtId="164" fontId="7" fillId="7" borderId="14" xfId="0" applyFont="1" applyFill="1" applyBorder="1" applyAlignment="1">
      <alignment horizontal="center" vertical="center" wrapText="1"/>
    </xf>
    <xf numFmtId="167" fontId="7" fillId="9" borderId="14" xfId="0" applyNumberFormat="1" applyFont="1" applyFill="1" applyBorder="1" applyAlignment="1">
      <alignment horizontal="center" vertical="center" wrapText="1"/>
    </xf>
    <xf numFmtId="167" fontId="7" fillId="9" borderId="15" xfId="0" applyNumberFormat="1" applyFont="1" applyFill="1" applyBorder="1" applyAlignment="1">
      <alignment horizontal="center" vertical="center" wrapText="1"/>
    </xf>
    <xf numFmtId="164" fontId="7" fillId="7" borderId="36" xfId="0" applyFont="1" applyFill="1" applyBorder="1" applyAlignment="1">
      <alignment horizontal="center" vertical="center" wrapText="1"/>
    </xf>
    <xf numFmtId="167" fontId="7" fillId="9" borderId="36" xfId="0" applyNumberFormat="1" applyFont="1" applyFill="1" applyBorder="1" applyAlignment="1">
      <alignment horizontal="center" vertical="center" wrapText="1"/>
    </xf>
    <xf numFmtId="164" fontId="26" fillId="7" borderId="31" xfId="0" applyFont="1" applyFill="1" applyBorder="1" applyAlignment="1">
      <alignment horizontal="center" vertical="center" wrapText="1"/>
    </xf>
    <xf numFmtId="164" fontId="27" fillId="7" borderId="31" xfId="0" applyFont="1" applyFill="1" applyBorder="1" applyAlignment="1">
      <alignment horizontal="center" vertical="center" wrapText="1"/>
    </xf>
    <xf numFmtId="167" fontId="7" fillId="10" borderId="31" xfId="0" applyNumberFormat="1" applyFont="1" applyFill="1" applyBorder="1" applyAlignment="1">
      <alignment horizontal="center" vertical="center" wrapText="1"/>
    </xf>
    <xf numFmtId="164" fontId="0" fillId="11" borderId="31" xfId="0" applyFill="1" applyBorder="1" applyAlignment="1">
      <alignment horizontal="center" vertical="center"/>
    </xf>
    <xf numFmtId="164" fontId="28" fillId="0" borderId="31" xfId="0" applyFont="1" applyBorder="1" applyAlignment="1">
      <alignment horizontal="center" vertical="center" wrapText="1"/>
    </xf>
    <xf numFmtId="164" fontId="0" fillId="0" borderId="31" xfId="0" applyFont="1" applyBorder="1" applyAlignment="1">
      <alignment horizontal="center" vertical="center" wrapText="1"/>
    </xf>
    <xf numFmtId="164" fontId="29" fillId="0" borderId="0" xfId="0" applyFont="1" applyAlignment="1">
      <alignment horizontal="center"/>
    </xf>
    <xf numFmtId="167" fontId="25" fillId="14" borderId="31" xfId="0" applyNumberFormat="1" applyFont="1" applyFill="1" applyBorder="1" applyAlignment="1">
      <alignment horizontal="center" vertical="center" wrapText="1"/>
    </xf>
    <xf numFmtId="164" fontId="7" fillId="0" borderId="32" xfId="0" applyFont="1" applyBorder="1" applyAlignment="1">
      <alignment horizontal="center" vertical="center" wrapText="1"/>
    </xf>
    <xf numFmtId="164" fontId="0" fillId="5" borderId="31" xfId="0" applyFill="1" applyBorder="1" applyAlignment="1">
      <alignment horizontal="center" vertical="center"/>
    </xf>
    <xf numFmtId="164" fontId="7" fillId="2" borderId="31" xfId="0" applyFont="1" applyFill="1" applyBorder="1" applyAlignment="1">
      <alignment horizontal="center" vertical="center" wrapText="1"/>
    </xf>
    <xf numFmtId="167" fontId="7" fillId="2" borderId="31" xfId="0" applyNumberFormat="1" applyFont="1" applyFill="1" applyBorder="1" applyAlignment="1">
      <alignment horizontal="center" vertical="center" wrapText="1"/>
    </xf>
    <xf numFmtId="168" fontId="7" fillId="2" borderId="31" xfId="0" applyNumberFormat="1" applyFont="1" applyFill="1" applyBorder="1" applyAlignment="1">
      <alignment horizontal="center" vertical="center" wrapText="1"/>
    </xf>
    <xf numFmtId="167" fontId="8" fillId="2" borderId="31" xfId="0" applyNumberFormat="1" applyFont="1" applyFill="1" applyBorder="1" applyAlignment="1">
      <alignment horizontal="center" vertical="center" wrapText="1"/>
    </xf>
    <xf numFmtId="167" fontId="8" fillId="14" borderId="31" xfId="0" applyNumberFormat="1" applyFont="1" applyFill="1" applyBorder="1" applyAlignment="1">
      <alignment horizontal="center" vertical="center" wrapText="1"/>
    </xf>
    <xf numFmtId="164" fontId="7" fillId="18" borderId="31" xfId="0" applyFont="1" applyFill="1" applyBorder="1" applyAlignment="1">
      <alignment horizontal="center" vertical="center" wrapText="1"/>
    </xf>
    <xf numFmtId="167" fontId="7" fillId="33" borderId="31" xfId="0" applyNumberFormat="1" applyFont="1" applyFill="1" applyBorder="1" applyAlignment="1">
      <alignment horizontal="center" vertical="center" wrapText="1"/>
    </xf>
    <xf numFmtId="168" fontId="7" fillId="33" borderId="31" xfId="0" applyNumberFormat="1" applyFont="1" applyFill="1" applyBorder="1" applyAlignment="1">
      <alignment horizontal="center" vertical="center" wrapText="1"/>
    </xf>
    <xf numFmtId="167" fontId="8" fillId="33" borderId="31" xfId="0" applyNumberFormat="1" applyFont="1" applyFill="1" applyBorder="1" applyAlignment="1">
      <alignment horizontal="center" vertical="center" wrapText="1"/>
    </xf>
    <xf numFmtId="167" fontId="7" fillId="34" borderId="31" xfId="0" applyNumberFormat="1" applyFont="1" applyFill="1" applyBorder="1" applyAlignment="1">
      <alignment horizontal="center" vertical="center" wrapText="1"/>
    </xf>
    <xf numFmtId="164" fontId="7" fillId="0" borderId="31" xfId="0" applyFont="1" applyBorder="1" applyAlignment="1">
      <alignment horizontal="center" vertical="center" wrapText="1"/>
    </xf>
    <xf numFmtId="164" fontId="28" fillId="0" borderId="66" xfId="0" applyFont="1" applyBorder="1" applyAlignment="1">
      <alignment horizontal="center" vertical="center" wrapText="1"/>
    </xf>
    <xf numFmtId="164" fontId="7" fillId="0" borderId="50" xfId="0" applyFont="1" applyBorder="1" applyAlignment="1">
      <alignment horizontal="center" vertical="center" wrapText="1"/>
    </xf>
    <xf numFmtId="167" fontId="7" fillId="14" borderId="92" xfId="0" applyNumberFormat="1" applyFont="1" applyFill="1" applyBorder="1" applyAlignment="1">
      <alignment horizontal="center" vertical="center" wrapText="1"/>
    </xf>
    <xf numFmtId="167" fontId="8" fillId="14" borderId="66" xfId="0" applyNumberFormat="1" applyFont="1" applyFill="1" applyBorder="1" applyAlignment="1">
      <alignment horizontal="center" vertical="center" wrapText="1"/>
    </xf>
    <xf numFmtId="167" fontId="7" fillId="6" borderId="50" xfId="0" applyNumberFormat="1" applyFont="1" applyFill="1" applyBorder="1" applyAlignment="1">
      <alignment horizontal="center" vertical="center" wrapText="1"/>
    </xf>
    <xf numFmtId="167" fontId="7" fillId="7" borderId="50" xfId="0" applyNumberFormat="1" applyFont="1" applyFill="1" applyBorder="1" applyAlignment="1">
      <alignment horizontal="center" vertical="center" wrapText="1"/>
    </xf>
    <xf numFmtId="164" fontId="7" fillId="7" borderId="66" xfId="0" applyFont="1" applyFill="1" applyBorder="1" applyAlignment="1">
      <alignment horizontal="center" vertical="center" wrapText="1"/>
    </xf>
    <xf numFmtId="164" fontId="7" fillId="22" borderId="31" xfId="0" applyFont="1" applyFill="1" applyBorder="1" applyAlignment="1">
      <alignment horizontal="center" vertical="center" wrapText="1"/>
    </xf>
    <xf numFmtId="164" fontId="7" fillId="7" borderId="27" xfId="0" applyFont="1" applyFill="1" applyBorder="1" applyAlignment="1">
      <alignment horizontal="center" vertical="center" wrapText="1"/>
    </xf>
    <xf numFmtId="167" fontId="7" fillId="6" borderId="27" xfId="0" applyNumberFormat="1" applyFont="1" applyFill="1" applyBorder="1" applyAlignment="1">
      <alignment horizontal="center" vertical="center" wrapText="1"/>
    </xf>
    <xf numFmtId="164" fontId="7" fillId="7" borderId="50" xfId="0" applyFont="1" applyFill="1" applyBorder="1" applyAlignment="1">
      <alignment horizontal="center" vertical="center" wrapText="1"/>
    </xf>
    <xf numFmtId="164" fontId="28" fillId="0" borderId="19" xfId="0" applyFont="1" applyBorder="1" applyAlignment="1">
      <alignment horizontal="center" vertical="center" wrapText="1"/>
    </xf>
    <xf numFmtId="164" fontId="0" fillId="0" borderId="93" xfId="0" applyFont="1" applyFill="1" applyBorder="1" applyAlignment="1">
      <alignment horizontal="center"/>
    </xf>
    <xf numFmtId="167" fontId="7" fillId="14" borderId="19" xfId="0" applyNumberFormat="1" applyFont="1" applyFill="1" applyBorder="1" applyAlignment="1">
      <alignment horizontal="center" vertical="center" wrapText="1"/>
    </xf>
    <xf numFmtId="168" fontId="7" fillId="14" borderId="19" xfId="0" applyNumberFormat="1" applyFont="1" applyFill="1" applyBorder="1" applyAlignment="1">
      <alignment horizontal="center" vertical="center" wrapText="1"/>
    </xf>
    <xf numFmtId="167" fontId="7" fillId="6" borderId="19" xfId="0" applyNumberFormat="1" applyFont="1" applyFill="1" applyBorder="1" applyAlignment="1">
      <alignment horizontal="center" vertical="center" wrapText="1"/>
    </xf>
    <xf numFmtId="168" fontId="7" fillId="4" borderId="31" xfId="0" applyNumberFormat="1" applyFont="1" applyFill="1" applyBorder="1" applyAlignment="1">
      <alignment horizontal="center" vertical="center" wrapText="1"/>
    </xf>
    <xf numFmtId="164" fontId="28" fillId="0" borderId="27" xfId="0" applyFont="1" applyBorder="1" applyAlignment="1">
      <alignment horizontal="center" vertical="center" wrapText="1"/>
    </xf>
    <xf numFmtId="164" fontId="0" fillId="0" borderId="94" xfId="0" applyFont="1" applyFill="1" applyBorder="1" applyAlignment="1">
      <alignment horizontal="center"/>
    </xf>
    <xf numFmtId="164" fontId="0" fillId="0" borderId="94" xfId="0" applyFont="1" applyFill="1" applyBorder="1" applyAlignment="1">
      <alignment horizontal="center"/>
    </xf>
    <xf numFmtId="164" fontId="0" fillId="7" borderId="94" xfId="0" applyFont="1" applyFill="1" applyBorder="1" applyAlignment="1">
      <alignment horizontal="center"/>
    </xf>
    <xf numFmtId="164" fontId="0" fillId="7" borderId="94" xfId="0" applyFont="1" applyFill="1" applyBorder="1" applyAlignment="1">
      <alignment horizontal="center"/>
    </xf>
    <xf numFmtId="164" fontId="28" fillId="0" borderId="47" xfId="0" applyFont="1" applyBorder="1" applyAlignment="1">
      <alignment horizontal="center" vertical="center" wrapText="1"/>
    </xf>
    <xf numFmtId="164" fontId="0" fillId="0" borderId="95" xfId="0" applyFont="1" applyFill="1" applyBorder="1" applyAlignment="1">
      <alignment horizontal="center"/>
    </xf>
    <xf numFmtId="167" fontId="7" fillId="14" borderId="47" xfId="0" applyNumberFormat="1" applyFont="1" applyFill="1" applyBorder="1" applyAlignment="1">
      <alignment horizontal="center" vertical="center" wrapText="1"/>
    </xf>
    <xf numFmtId="168" fontId="7" fillId="14" borderId="47" xfId="0" applyNumberFormat="1" applyFont="1" applyFill="1" applyBorder="1" applyAlignment="1">
      <alignment horizontal="center" vertical="center" wrapText="1"/>
    </xf>
    <xf numFmtId="167" fontId="7" fillId="6" borderId="47" xfId="0" applyNumberFormat="1" applyFont="1" applyFill="1" applyBorder="1" applyAlignment="1">
      <alignment horizontal="center" vertical="center" wrapText="1"/>
    </xf>
    <xf numFmtId="167" fontId="7" fillId="14" borderId="66" xfId="0" applyNumberFormat="1" applyFont="1" applyFill="1" applyBorder="1" applyAlignment="1">
      <alignment horizontal="center" vertical="center" wrapText="1"/>
    </xf>
    <xf numFmtId="164" fontId="28" fillId="0" borderId="50" xfId="0" applyFont="1" applyBorder="1" applyAlignment="1">
      <alignment horizontal="center" vertical="center" wrapText="1"/>
    </xf>
    <xf numFmtId="164" fontId="28" fillId="0" borderId="24" xfId="0" applyFont="1" applyBorder="1" applyAlignment="1">
      <alignment horizontal="center" vertical="center" wrapText="1"/>
    </xf>
    <xf numFmtId="164" fontId="7" fillId="7" borderId="24" xfId="0" applyFont="1" applyFill="1" applyBorder="1" applyAlignment="1">
      <alignment horizontal="center" vertical="center" wrapText="1"/>
    </xf>
    <xf numFmtId="167" fontId="7" fillId="14" borderId="24" xfId="0" applyNumberFormat="1" applyFont="1" applyFill="1" applyBorder="1" applyAlignment="1">
      <alignment horizontal="center" vertical="center" wrapText="1"/>
    </xf>
    <xf numFmtId="168" fontId="7" fillId="14" borderId="24" xfId="0" applyNumberFormat="1" applyFont="1" applyFill="1" applyBorder="1" applyAlignment="1">
      <alignment horizontal="center" vertical="center" wrapText="1"/>
    </xf>
    <xf numFmtId="167" fontId="7" fillId="6" borderId="96" xfId="0" applyNumberFormat="1" applyFont="1" applyFill="1" applyBorder="1" applyAlignment="1">
      <alignment horizontal="center" vertical="center" wrapText="1"/>
    </xf>
    <xf numFmtId="167" fontId="7" fillId="6" borderId="24" xfId="0" applyNumberFormat="1" applyFont="1" applyFill="1" applyBorder="1" applyAlignment="1">
      <alignment horizontal="center" vertical="center" wrapText="1"/>
    </xf>
    <xf numFmtId="168" fontId="7" fillId="14" borderId="97" xfId="0" applyNumberFormat="1" applyFont="1" applyFill="1" applyBorder="1" applyAlignment="1">
      <alignment vertical="center" wrapText="1"/>
    </xf>
    <xf numFmtId="168" fontId="7" fillId="14" borderId="98" xfId="0" applyNumberFormat="1" applyFont="1" applyFill="1" applyBorder="1" applyAlignment="1">
      <alignment horizontal="center" vertical="center" wrapText="1"/>
    </xf>
    <xf numFmtId="164" fontId="7" fillId="2" borderId="32" xfId="0" applyFont="1" applyFill="1" applyBorder="1" applyAlignment="1">
      <alignment horizontal="center" vertical="center" wrapText="1"/>
    </xf>
    <xf numFmtId="164" fontId="7" fillId="2" borderId="13" xfId="0" applyFont="1" applyFill="1" applyBorder="1" applyAlignment="1">
      <alignment horizontal="center" vertical="center" wrapText="1"/>
    </xf>
    <xf numFmtId="167" fontId="7" fillId="2" borderId="13" xfId="0" applyNumberFormat="1" applyFont="1" applyFill="1" applyBorder="1" applyAlignment="1">
      <alignment horizontal="center" vertical="center" wrapText="1"/>
    </xf>
    <xf numFmtId="167" fontId="8" fillId="2" borderId="13" xfId="0" applyNumberFormat="1" applyFont="1" applyFill="1" applyBorder="1" applyAlignment="1">
      <alignment horizontal="center" vertical="center" wrapText="1"/>
    </xf>
    <xf numFmtId="164" fontId="28" fillId="0" borderId="31" xfId="0" applyFont="1" applyBorder="1" applyAlignment="1">
      <alignment horizontal="center" vertical="center"/>
    </xf>
    <xf numFmtId="164" fontId="23" fillId="7" borderId="31" xfId="0" applyFont="1" applyFill="1" applyBorder="1" applyAlignment="1">
      <alignment horizontal="center"/>
    </xf>
    <xf numFmtId="164" fontId="7" fillId="7" borderId="31" xfId="0" applyFont="1" applyFill="1" applyBorder="1" applyAlignment="1">
      <alignment horizontal="center" vertical="center"/>
    </xf>
    <xf numFmtId="168" fontId="7" fillId="9" borderId="31" xfId="0" applyNumberFormat="1" applyFont="1" applyFill="1" applyBorder="1" applyAlignment="1">
      <alignment horizontal="center" vertical="center" wrapText="1"/>
    </xf>
    <xf numFmtId="169" fontId="7" fillId="9" borderId="66" xfId="0" applyNumberFormat="1" applyFont="1" applyFill="1" applyBorder="1" applyAlignment="1">
      <alignment horizontal="center" vertical="center" wrapText="1"/>
    </xf>
    <xf numFmtId="167" fontId="7" fillId="20" borderId="31" xfId="0" applyNumberFormat="1" applyFont="1" applyFill="1" applyBorder="1" applyAlignment="1">
      <alignment horizontal="center" vertical="center" wrapText="1"/>
    </xf>
    <xf numFmtId="169" fontId="7" fillId="20" borderId="50" xfId="0" applyNumberFormat="1" applyFont="1" applyFill="1" applyBorder="1" applyAlignment="1">
      <alignment horizontal="center" vertical="center" wrapText="1"/>
    </xf>
    <xf numFmtId="164" fontId="0" fillId="24" borderId="31" xfId="0" applyFill="1" applyBorder="1" applyAlignment="1">
      <alignment horizontal="center" vertical="center"/>
    </xf>
    <xf numFmtId="164" fontId="7" fillId="35" borderId="31" xfId="0" applyFont="1" applyFill="1" applyBorder="1" applyAlignment="1">
      <alignment horizontal="center" vertical="center"/>
    </xf>
    <xf numFmtId="167" fontId="7" fillId="35" borderId="32" xfId="0" applyNumberFormat="1" applyFont="1" applyFill="1" applyBorder="1" applyAlignment="1">
      <alignment horizontal="center" vertical="center" wrapText="1"/>
    </xf>
    <xf numFmtId="169" fontId="7" fillId="9" borderId="50" xfId="0" applyNumberFormat="1" applyFont="1" applyFill="1" applyBorder="1" applyAlignment="1">
      <alignment vertical="center" wrapText="1"/>
    </xf>
    <xf numFmtId="167" fontId="7" fillId="35" borderId="31" xfId="0" applyNumberFormat="1" applyFont="1" applyFill="1" applyBorder="1" applyAlignment="1">
      <alignment horizontal="center" vertical="center" wrapText="1"/>
    </xf>
    <xf numFmtId="164" fontId="27" fillId="36" borderId="31" xfId="0" applyFont="1" applyFill="1" applyBorder="1" applyAlignment="1">
      <alignment horizontal="center"/>
    </xf>
    <xf numFmtId="164" fontId="27" fillId="36" borderId="31" xfId="0" applyFont="1" applyFill="1" applyBorder="1" applyAlignment="1">
      <alignment horizontal="center" vertical="center"/>
    </xf>
    <xf numFmtId="164" fontId="7" fillId="8" borderId="31" xfId="0" applyFont="1" applyFill="1" applyBorder="1" applyAlignment="1">
      <alignment horizontal="center" vertical="center"/>
    </xf>
    <xf numFmtId="169" fontId="7" fillId="9" borderId="24" xfId="0" applyNumberFormat="1" applyFont="1" applyFill="1" applyBorder="1" applyAlignment="1">
      <alignment horizontal="center" vertical="center" wrapText="1"/>
    </xf>
    <xf numFmtId="176" fontId="7" fillId="9" borderId="31" xfId="0" applyNumberFormat="1" applyFont="1" applyFill="1" applyBorder="1" applyAlignment="1">
      <alignment horizontal="center" vertical="center" wrapText="1"/>
    </xf>
    <xf numFmtId="170" fontId="0" fillId="0" borderId="31" xfId="0" applyNumberFormat="1" applyBorder="1" applyAlignment="1">
      <alignment horizontal="center" vertical="center"/>
    </xf>
    <xf numFmtId="167" fontId="0" fillId="0" borderId="31" xfId="0" applyNumberFormat="1" applyBorder="1" applyAlignment="1">
      <alignment horizontal="center" vertical="center"/>
    </xf>
    <xf numFmtId="169" fontId="7" fillId="9" borderId="50" xfId="0" applyNumberFormat="1" applyFont="1" applyFill="1" applyBorder="1" applyAlignment="1">
      <alignment horizontal="center" vertical="center" wrapText="1"/>
    </xf>
    <xf numFmtId="167" fontId="7" fillId="7" borderId="24" xfId="0" applyNumberFormat="1" applyFont="1" applyFill="1" applyBorder="1" applyAlignment="1">
      <alignment horizontal="center" vertical="center" wrapText="1"/>
    </xf>
    <xf numFmtId="164" fontId="7" fillId="0" borderId="24" xfId="0" applyFont="1" applyBorder="1" applyAlignment="1">
      <alignment horizontal="center" vertical="center" wrapText="1"/>
    </xf>
    <xf numFmtId="164" fontId="7" fillId="35" borderId="31" xfId="0" applyFont="1" applyFill="1" applyBorder="1" applyAlignment="1">
      <alignment horizontal="center" vertical="center" wrapText="1"/>
    </xf>
    <xf numFmtId="167" fontId="7" fillId="35" borderId="99" xfId="0" applyNumberFormat="1" applyFont="1" applyFill="1" applyBorder="1" applyAlignment="1">
      <alignment vertical="center" wrapText="1"/>
    </xf>
    <xf numFmtId="167" fontId="7" fillId="9" borderId="32" xfId="0" applyNumberFormat="1" applyFont="1" applyFill="1" applyBorder="1" applyAlignment="1">
      <alignment horizontal="center" vertical="center" wrapText="1"/>
    </xf>
    <xf numFmtId="167" fontId="7" fillId="9" borderId="92" xfId="0" applyNumberFormat="1" applyFont="1" applyFill="1" applyBorder="1" applyAlignment="1">
      <alignment horizontal="center" vertical="center" wrapText="1"/>
    </xf>
    <xf numFmtId="167" fontId="7" fillId="7" borderId="89" xfId="0" applyNumberFormat="1" applyFont="1" applyFill="1" applyBorder="1" applyAlignment="1">
      <alignment horizontal="center" vertical="center" wrapText="1"/>
    </xf>
    <xf numFmtId="164" fontId="7" fillId="35" borderId="32" xfId="0" applyFont="1" applyFill="1" applyBorder="1" applyAlignment="1">
      <alignment horizontal="center" vertical="center" wrapText="1"/>
    </xf>
    <xf numFmtId="164" fontId="22" fillId="0" borderId="73" xfId="0" applyFont="1" applyBorder="1" applyAlignment="1">
      <alignment horizontal="center" vertical="center" textRotation="90"/>
    </xf>
    <xf numFmtId="167" fontId="7" fillId="21" borderId="31" xfId="0" applyNumberFormat="1" applyFont="1" applyFill="1" applyBorder="1" applyAlignment="1">
      <alignment horizontal="center" vertical="center" wrapText="1"/>
    </xf>
    <xf numFmtId="168" fontId="7" fillId="21" borderId="31" xfId="0" applyNumberFormat="1" applyFont="1" applyFill="1" applyBorder="1" applyAlignment="1">
      <alignment horizontal="center" vertical="center" wrapText="1"/>
    </xf>
    <xf numFmtId="168" fontId="7" fillId="21" borderId="66" xfId="0" applyNumberFormat="1" applyFont="1" applyFill="1" applyBorder="1" applyAlignment="1">
      <alignment horizontal="center" vertical="center" wrapText="1"/>
    </xf>
    <xf numFmtId="164" fontId="7" fillId="7" borderId="27" xfId="0" applyFont="1" applyFill="1" applyBorder="1" applyAlignment="1">
      <alignment horizontal="center" vertical="center"/>
    </xf>
    <xf numFmtId="164" fontId="7" fillId="7" borderId="47" xfId="0" applyFont="1" applyFill="1" applyBorder="1" applyAlignment="1">
      <alignment horizontal="center" vertical="center"/>
    </xf>
    <xf numFmtId="164" fontId="28" fillId="0" borderId="41" xfId="0" applyFont="1" applyBorder="1" applyAlignment="1">
      <alignment horizontal="center" vertical="center" wrapText="1"/>
    </xf>
    <xf numFmtId="164" fontId="7" fillId="7" borderId="10" xfId="0" applyFont="1" applyFill="1" applyBorder="1" applyAlignment="1">
      <alignment horizontal="center" vertical="center" wrapText="1"/>
    </xf>
    <xf numFmtId="164" fontId="7" fillId="7" borderId="34" xfId="0" applyFont="1" applyFill="1" applyBorder="1" applyAlignment="1">
      <alignment horizontal="center" vertical="center" wrapText="1"/>
    </xf>
    <xf numFmtId="164" fontId="28" fillId="0" borderId="17" xfId="0" applyFont="1" applyBorder="1" applyAlignment="1">
      <alignment horizontal="center" vertical="center" wrapText="1"/>
    </xf>
    <xf numFmtId="164" fontId="30" fillId="0" borderId="30" xfId="0" applyFont="1" applyBorder="1" applyAlignment="1">
      <alignment horizontal="center" vertical="center" textRotation="90" wrapText="1"/>
    </xf>
    <xf numFmtId="164" fontId="23" fillId="0" borderId="31" xfId="0" applyFont="1" applyFill="1" applyBorder="1" applyAlignment="1">
      <alignment horizontal="center" vertical="center" wrapText="1"/>
    </xf>
    <xf numFmtId="164" fontId="0" fillId="14" borderId="31" xfId="0" applyFont="1" applyFill="1" applyBorder="1" applyAlignment="1">
      <alignment/>
    </xf>
    <xf numFmtId="164" fontId="7" fillId="7" borderId="32" xfId="0" applyFont="1" applyFill="1" applyBorder="1" applyAlignment="1">
      <alignment horizontal="center" vertical="center" wrapText="1"/>
    </xf>
    <xf numFmtId="164" fontId="30" fillId="0" borderId="23" xfId="0" applyFont="1" applyBorder="1" applyAlignment="1">
      <alignment horizontal="center" vertical="center" textRotation="90" wrapText="1"/>
    </xf>
    <xf numFmtId="164" fontId="7" fillId="7" borderId="100" xfId="0" applyFont="1" applyFill="1" applyBorder="1" applyAlignment="1">
      <alignment horizontal="center" vertical="center" wrapText="1"/>
    </xf>
    <xf numFmtId="164" fontId="7" fillId="35" borderId="66" xfId="0" applyFont="1" applyFill="1" applyBorder="1" applyAlignment="1">
      <alignment horizontal="center" vertical="center" wrapText="1"/>
    </xf>
    <xf numFmtId="167" fontId="7" fillId="6" borderId="87" xfId="0" applyNumberFormat="1" applyFont="1" applyFill="1" applyBorder="1" applyAlignment="1">
      <alignment horizontal="center" vertical="center" wrapText="1"/>
    </xf>
    <xf numFmtId="164" fontId="0" fillId="14" borderId="96" xfId="0" applyFont="1" applyFill="1" applyBorder="1" applyAlignment="1">
      <alignment horizontal="center" vertical="center"/>
    </xf>
    <xf numFmtId="167" fontId="7" fillId="6" borderId="48" xfId="0" applyNumberFormat="1" applyFont="1" applyFill="1" applyBorder="1" applyAlignment="1">
      <alignment horizontal="center" vertical="center" wrapText="1"/>
    </xf>
    <xf numFmtId="164" fontId="0" fillId="0" borderId="30" xfId="0" applyBorder="1" applyAlignment="1">
      <alignment horizontal="center" vertical="center" textRotation="90" wrapText="1"/>
    </xf>
    <xf numFmtId="164" fontId="0" fillId="0" borderId="31" xfId="0" applyFont="1" applyBorder="1" applyAlignment="1">
      <alignment/>
    </xf>
    <xf numFmtId="168" fontId="7" fillId="7" borderId="31" xfId="0" applyNumberFormat="1" applyFont="1" applyFill="1" applyBorder="1" applyAlignment="1">
      <alignment horizontal="center" vertical="center" wrapText="1"/>
    </xf>
    <xf numFmtId="164" fontId="0" fillId="0" borderId="30" xfId="0" applyFont="1" applyBorder="1" applyAlignment="1">
      <alignment horizontal="center" vertical="center" textRotation="90" wrapText="1"/>
    </xf>
    <xf numFmtId="164" fontId="0" fillId="20" borderId="31" xfId="0" applyFont="1" applyFill="1" applyBorder="1" applyAlignment="1">
      <alignment/>
    </xf>
    <xf numFmtId="168" fontId="7" fillId="20" borderId="31" xfId="0" applyNumberFormat="1" applyFont="1" applyFill="1" applyBorder="1" applyAlignment="1">
      <alignment horizontal="center" vertical="center" wrapText="1"/>
    </xf>
    <xf numFmtId="168" fontId="7" fillId="20" borderId="24" xfId="0" applyNumberFormat="1" applyFont="1" applyFill="1" applyBorder="1" applyAlignment="1">
      <alignment horizontal="center" vertical="center" wrapText="1"/>
    </xf>
    <xf numFmtId="164" fontId="0" fillId="0" borderId="101" xfId="0" applyBorder="1" applyAlignment="1">
      <alignment horizontal="center" vertical="center" textRotation="90" wrapText="1"/>
    </xf>
    <xf numFmtId="164" fontId="23" fillId="0" borderId="102" xfId="0" applyFont="1" applyFill="1" applyBorder="1" applyAlignment="1">
      <alignment horizontal="center" vertical="center" wrapText="1"/>
    </xf>
    <xf numFmtId="164" fontId="23" fillId="0" borderId="66" xfId="0" applyFont="1" applyFill="1" applyBorder="1" applyAlignment="1">
      <alignment horizontal="center" vertical="center" wrapText="1"/>
    </xf>
    <xf numFmtId="164" fontId="7" fillId="19" borderId="31" xfId="0" applyFont="1" applyFill="1" applyBorder="1" applyAlignment="1">
      <alignment horizontal="center" vertical="center" wrapText="1"/>
    </xf>
    <xf numFmtId="167" fontId="7" fillId="19" borderId="31" xfId="0" applyNumberFormat="1" applyFont="1" applyFill="1" applyBorder="1" applyAlignment="1">
      <alignment horizontal="center" vertical="center" wrapText="1"/>
    </xf>
    <xf numFmtId="168" fontId="7" fillId="19" borderId="31" xfId="0" applyNumberFormat="1" applyFont="1" applyFill="1" applyBorder="1" applyAlignment="1">
      <alignment horizontal="center" vertical="center" wrapText="1"/>
    </xf>
    <xf numFmtId="168" fontId="7" fillId="14" borderId="102" xfId="0" applyNumberFormat="1" applyFont="1" applyFill="1" applyBorder="1" applyAlignment="1">
      <alignment horizontal="center" vertical="center" wrapText="1"/>
    </xf>
    <xf numFmtId="164" fontId="0" fillId="0" borderId="50" xfId="0" applyBorder="1" applyAlignment="1">
      <alignment horizontal="center" vertical="center" wrapText="1"/>
    </xf>
    <xf numFmtId="164" fontId="0" fillId="0" borderId="59" xfId="0" applyBorder="1" applyAlignment="1">
      <alignment horizontal="center" vertical="center" wrapText="1"/>
    </xf>
    <xf numFmtId="164" fontId="7" fillId="19" borderId="102" xfId="0" applyFont="1" applyFill="1" applyBorder="1" applyAlignment="1">
      <alignment horizontal="center" vertical="center" wrapText="1"/>
    </xf>
    <xf numFmtId="167" fontId="7" fillId="19" borderId="102" xfId="0" applyNumberFormat="1" applyFont="1" applyFill="1" applyBorder="1" applyAlignment="1">
      <alignment horizontal="center" vertical="center" wrapText="1"/>
    </xf>
    <xf numFmtId="167" fontId="7" fillId="7" borderId="102" xfId="0" applyNumberFormat="1" applyFont="1" applyFill="1" applyBorder="1" applyAlignment="1">
      <alignment horizontal="center" vertical="center" wrapText="1"/>
    </xf>
    <xf numFmtId="164" fontId="0" fillId="0" borderId="101" xfId="0" applyBorder="1" applyAlignment="1">
      <alignment horizontal="center" vertical="center"/>
    </xf>
    <xf numFmtId="164" fontId="0" fillId="0" borderId="102" xfId="0" applyBorder="1" applyAlignment="1">
      <alignment horizontal="center" vertical="center"/>
    </xf>
    <xf numFmtId="164" fontId="0" fillId="0" borderId="103" xfId="0" applyBorder="1" applyAlignment="1">
      <alignment horizontal="center" vertical="center"/>
    </xf>
    <xf numFmtId="164" fontId="0" fillId="10" borderId="102" xfId="0" applyFill="1" applyBorder="1" applyAlignment="1">
      <alignment horizontal="center" vertical="center"/>
    </xf>
    <xf numFmtId="164" fontId="0" fillId="15" borderId="102" xfId="0" applyFill="1" applyBorder="1" applyAlignment="1">
      <alignment horizontal="center" vertical="center"/>
    </xf>
    <xf numFmtId="164" fontId="0" fillId="30" borderId="102" xfId="0" applyFill="1" applyBorder="1" applyAlignment="1">
      <alignment horizontal="center" vertical="center"/>
    </xf>
    <xf numFmtId="164" fontId="0" fillId="31" borderId="102" xfId="0" applyFill="1" applyBorder="1" applyAlignment="1">
      <alignment horizontal="center" vertical="center"/>
    </xf>
    <xf numFmtId="164" fontId="0" fillId="5" borderId="102" xfId="0" applyFill="1" applyBorder="1" applyAlignment="1">
      <alignment horizontal="center" vertical="center"/>
    </xf>
    <xf numFmtId="164" fontId="0" fillId="29" borderId="102" xfId="0" applyFill="1" applyBorder="1" applyAlignment="1">
      <alignment horizontal="center" vertical="center"/>
    </xf>
    <xf numFmtId="167" fontId="0" fillId="6" borderId="102" xfId="0" applyNumberFormat="1" applyFill="1" applyBorder="1" applyAlignment="1">
      <alignment horizontal="center" vertical="center"/>
    </xf>
    <xf numFmtId="164" fontId="7" fillId="0" borderId="102" xfId="0" applyFont="1" applyBorder="1" applyAlignment="1">
      <alignment horizontal="center" vertical="center" wrapText="1"/>
    </xf>
    <xf numFmtId="170" fontId="0" fillId="0" borderId="102" xfId="0" applyNumberFormat="1" applyBorder="1" applyAlignment="1">
      <alignment horizontal="center"/>
    </xf>
    <xf numFmtId="170" fontId="0" fillId="0" borderId="103" xfId="0" applyNumberFormat="1" applyBorder="1" applyAlignment="1">
      <alignment horizontal="center"/>
    </xf>
    <xf numFmtId="164" fontId="23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 wrapText="1"/>
    </xf>
    <xf numFmtId="167" fontId="13" fillId="0" borderId="37" xfId="0" applyNumberFormat="1" applyFont="1" applyBorder="1" applyAlignment="1">
      <alignment horizontal="center"/>
    </xf>
    <xf numFmtId="167" fontId="13" fillId="0" borderId="0" xfId="0" applyNumberFormat="1" applyFont="1" applyBorder="1" applyAlignment="1">
      <alignment horizontal="center"/>
    </xf>
    <xf numFmtId="167" fontId="13" fillId="0" borderId="56" xfId="0" applyNumberFormat="1" applyFont="1" applyBorder="1" applyAlignment="1">
      <alignment horizontal="center"/>
    </xf>
    <xf numFmtId="167" fontId="13" fillId="0" borderId="0" xfId="0" applyNumberFormat="1" applyFont="1" applyAlignment="1">
      <alignment/>
    </xf>
    <xf numFmtId="164" fontId="15" fillId="23" borderId="31" xfId="0" applyFont="1" applyFill="1" applyBorder="1" applyAlignment="1">
      <alignment horizontal="center" vertical="center"/>
    </xf>
    <xf numFmtId="167" fontId="0" fillId="0" borderId="76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7" fontId="0" fillId="0" borderId="78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7" fontId="0" fillId="0" borderId="78" xfId="0" applyNumberFormat="1" applyBorder="1" applyAlignment="1">
      <alignment horizontal="right"/>
    </xf>
    <xf numFmtId="164" fontId="15" fillId="0" borderId="83" xfId="0" applyFont="1" applyBorder="1" applyAlignment="1">
      <alignment horizontal="center"/>
    </xf>
    <xf numFmtId="167" fontId="15" fillId="0" borderId="80" xfId="0" applyNumberFormat="1" applyFont="1" applyBorder="1" applyAlignment="1">
      <alignment horizontal="right"/>
    </xf>
    <xf numFmtId="167" fontId="15" fillId="0" borderId="0" xfId="0" applyNumberFormat="1" applyFont="1" applyBorder="1" applyAlignment="1">
      <alignment horizontal="right"/>
    </xf>
    <xf numFmtId="164" fontId="0" fillId="35" borderId="0" xfId="0" applyFill="1" applyAlignment="1">
      <alignment/>
    </xf>
    <xf numFmtId="164" fontId="0" fillId="0" borderId="78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 vertical="center" wrapText="1"/>
    </xf>
    <xf numFmtId="164" fontId="5" fillId="0" borderId="0" xfId="0" applyFont="1" applyAlignment="1">
      <alignment/>
    </xf>
    <xf numFmtId="167" fontId="5" fillId="0" borderId="0" xfId="0" applyNumberFormat="1" applyFont="1" applyAlignment="1">
      <alignment/>
    </xf>
    <xf numFmtId="167" fontId="5" fillId="0" borderId="8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77" fontId="0" fillId="0" borderId="0" xfId="0" applyNumberFormat="1" applyAlignment="1">
      <alignment/>
    </xf>
    <xf numFmtId="164" fontId="31" fillId="0" borderId="0" xfId="0" applyFont="1" applyAlignment="1">
      <alignment/>
    </xf>
    <xf numFmtId="177" fontId="31" fillId="0" borderId="0" xfId="0" applyNumberFormat="1" applyFont="1" applyAlignment="1">
      <alignment/>
    </xf>
    <xf numFmtId="164" fontId="20" fillId="0" borderId="8" xfId="0" applyFont="1" applyBorder="1" applyAlignment="1">
      <alignment horizontal="center"/>
    </xf>
    <xf numFmtId="178" fontId="32" fillId="23" borderId="104" xfId="0" applyNumberFormat="1" applyFont="1" applyFill="1" applyBorder="1" applyAlignment="1">
      <alignment horizontal="center" vertical="center"/>
    </xf>
    <xf numFmtId="178" fontId="32" fillId="23" borderId="85" xfId="0" applyNumberFormat="1" applyFont="1" applyFill="1" applyBorder="1" applyAlignment="1">
      <alignment horizontal="center" vertical="center"/>
    </xf>
    <xf numFmtId="164" fontId="32" fillId="23" borderId="71" xfId="0" applyFont="1" applyFill="1" applyBorder="1" applyAlignment="1">
      <alignment horizontal="center" vertical="center"/>
    </xf>
    <xf numFmtId="164" fontId="32" fillId="23" borderId="85" xfId="0" applyFont="1" applyFill="1" applyBorder="1" applyAlignment="1">
      <alignment horizontal="center" vertical="center"/>
    </xf>
    <xf numFmtId="164" fontId="32" fillId="23" borderId="104" xfId="0" applyFont="1" applyFill="1" applyBorder="1" applyAlignment="1">
      <alignment horizontal="center" vertical="center"/>
    </xf>
    <xf numFmtId="164" fontId="32" fillId="0" borderId="0" xfId="0" applyFont="1" applyBorder="1" applyAlignment="1">
      <alignment horizontal="center" vertical="center"/>
    </xf>
    <xf numFmtId="164" fontId="22" fillId="23" borderId="58" xfId="0" applyFont="1" applyFill="1" applyBorder="1" applyAlignment="1">
      <alignment horizontal="center" vertical="center" wrapText="1"/>
    </xf>
    <xf numFmtId="164" fontId="22" fillId="23" borderId="105" xfId="0" applyFont="1" applyFill="1" applyBorder="1" applyAlignment="1">
      <alignment horizontal="center" vertical="center" wrapText="1"/>
    </xf>
    <xf numFmtId="164" fontId="22" fillId="23" borderId="53" xfId="0" applyFont="1" applyFill="1" applyBorder="1" applyAlignment="1">
      <alignment horizontal="center" vertical="center"/>
    </xf>
    <xf numFmtId="164" fontId="22" fillId="23" borderId="4" xfId="0" applyFont="1" applyFill="1" applyBorder="1" applyAlignment="1">
      <alignment horizontal="center" vertical="center" wrapText="1"/>
    </xf>
    <xf numFmtId="164" fontId="33" fillId="0" borderId="106" xfId="0" applyFont="1" applyBorder="1" applyAlignment="1">
      <alignment horizontal="center" vertical="center" wrapText="1"/>
    </xf>
    <xf numFmtId="167" fontId="33" fillId="0" borderId="107" xfId="0" applyNumberFormat="1" applyFont="1" applyBorder="1" applyAlignment="1">
      <alignment horizontal="center" vertical="center" wrapText="1"/>
    </xf>
    <xf numFmtId="164" fontId="33" fillId="0" borderId="108" xfId="0" applyFont="1" applyBorder="1" applyAlignment="1">
      <alignment horizontal="center" vertical="center" wrapText="1"/>
    </xf>
    <xf numFmtId="167" fontId="33" fillId="0" borderId="109" xfId="0" applyNumberFormat="1" applyFont="1" applyBorder="1" applyAlignment="1">
      <alignment horizontal="center" vertical="center" wrapText="1"/>
    </xf>
    <xf numFmtId="164" fontId="33" fillId="0" borderId="97" xfId="0" applyFont="1" applyBorder="1" applyAlignment="1">
      <alignment horizontal="center" vertical="center" wrapText="1"/>
    </xf>
    <xf numFmtId="167" fontId="33" fillId="0" borderId="110" xfId="0" applyNumberFormat="1" applyFont="1" applyBorder="1" applyAlignment="1">
      <alignment horizontal="center" vertical="center" wrapText="1"/>
    </xf>
    <xf numFmtId="167" fontId="34" fillId="20" borderId="106" xfId="0" applyNumberFormat="1" applyFont="1" applyFill="1" applyBorder="1" applyAlignment="1">
      <alignment horizontal="center" vertical="center" wrapText="1"/>
    </xf>
    <xf numFmtId="167" fontId="34" fillId="37" borderId="106" xfId="0" applyNumberFormat="1" applyFont="1" applyFill="1" applyBorder="1" applyAlignment="1">
      <alignment horizontal="center" vertical="center" wrapText="1"/>
    </xf>
    <xf numFmtId="167" fontId="34" fillId="22" borderId="66" xfId="0" applyNumberFormat="1" applyFont="1" applyFill="1" applyBorder="1" applyAlignment="1">
      <alignment horizontal="center" vertical="center" wrapText="1"/>
    </xf>
    <xf numFmtId="167" fontId="34" fillId="6" borderId="66" xfId="0" applyNumberFormat="1" applyFont="1" applyFill="1" applyBorder="1" applyAlignment="1">
      <alignment horizontal="center" vertical="center" wrapText="1"/>
    </xf>
    <xf numFmtId="164" fontId="35" fillId="38" borderId="66" xfId="0" applyFont="1" applyFill="1" applyBorder="1" applyAlignment="1">
      <alignment horizontal="center" vertical="center" wrapText="1"/>
    </xf>
    <xf numFmtId="164" fontId="35" fillId="39" borderId="66" xfId="0" applyFont="1" applyFill="1" applyBorder="1" applyAlignment="1">
      <alignment horizontal="center" vertical="center" wrapText="1"/>
    </xf>
    <xf numFmtId="164" fontId="35" fillId="6" borderId="109" xfId="0" applyFont="1" applyFill="1" applyBorder="1" applyAlignment="1">
      <alignment horizontal="center" vertical="center" wrapText="1"/>
    </xf>
    <xf numFmtId="164" fontId="35" fillId="23" borderId="66" xfId="0" applyFont="1" applyFill="1" applyBorder="1" applyAlignment="1">
      <alignment horizontal="center" vertical="center" wrapText="1"/>
    </xf>
    <xf numFmtId="164" fontId="36" fillId="3" borderId="105" xfId="0" applyFont="1" applyFill="1" applyBorder="1" applyAlignment="1">
      <alignment horizontal="center" vertical="center" wrapText="1"/>
    </xf>
    <xf numFmtId="164" fontId="36" fillId="37" borderId="53" xfId="0" applyFont="1" applyFill="1" applyBorder="1" applyAlignment="1">
      <alignment horizontal="center" vertical="center" wrapText="1"/>
    </xf>
    <xf numFmtId="164" fontId="37" fillId="0" borderId="73" xfId="0" applyFont="1" applyBorder="1" applyAlignment="1">
      <alignment horizontal="center" vertical="center" textRotation="90"/>
    </xf>
    <xf numFmtId="164" fontId="38" fillId="0" borderId="111" xfId="0" applyFont="1" applyFill="1" applyBorder="1" applyAlignment="1">
      <alignment horizontal="center" vertical="center" wrapText="1"/>
    </xf>
    <xf numFmtId="164" fontId="7" fillId="7" borderId="112" xfId="0" applyFont="1" applyFill="1" applyBorder="1" applyAlignment="1">
      <alignment horizontal="center" vertical="center"/>
    </xf>
    <xf numFmtId="167" fontId="39" fillId="23" borderId="113" xfId="0" applyNumberFormat="1" applyFont="1" applyFill="1" applyBorder="1" applyAlignment="1">
      <alignment horizontal="center" vertical="center"/>
    </xf>
    <xf numFmtId="167" fontId="39" fillId="7" borderId="113" xfId="0" applyNumberFormat="1" applyFont="1" applyFill="1" applyBorder="1" applyAlignment="1">
      <alignment horizontal="center" vertical="center"/>
    </xf>
    <xf numFmtId="167" fontId="7" fillId="7" borderId="112" xfId="0" applyNumberFormat="1" applyFont="1" applyFill="1" applyBorder="1" applyAlignment="1">
      <alignment horizontal="center" vertical="center"/>
    </xf>
    <xf numFmtId="167" fontId="39" fillId="7" borderId="114" xfId="0" applyNumberFormat="1" applyFont="1" applyFill="1" applyBorder="1" applyAlignment="1">
      <alignment horizontal="center" vertical="center"/>
    </xf>
    <xf numFmtId="177" fontId="39" fillId="7" borderId="114" xfId="0" applyNumberFormat="1" applyFont="1" applyFill="1" applyBorder="1" applyAlignment="1">
      <alignment horizontal="center" vertical="center"/>
    </xf>
    <xf numFmtId="164" fontId="7" fillId="7" borderId="111" xfId="0" applyFont="1" applyFill="1" applyBorder="1" applyAlignment="1">
      <alignment horizontal="center" vertical="center"/>
    </xf>
    <xf numFmtId="170" fontId="7" fillId="7" borderId="111" xfId="0" applyNumberFormat="1" applyFont="1" applyFill="1" applyBorder="1" applyAlignment="1">
      <alignment horizontal="center" vertical="center"/>
    </xf>
    <xf numFmtId="167" fontId="7" fillId="7" borderId="115" xfId="0" applyNumberFormat="1" applyFont="1" applyFill="1" applyBorder="1" applyAlignment="1">
      <alignment horizontal="center" vertical="center"/>
    </xf>
    <xf numFmtId="164" fontId="7" fillId="7" borderId="116" xfId="0" applyFont="1" applyFill="1" applyBorder="1" applyAlignment="1">
      <alignment horizontal="center" vertical="center"/>
    </xf>
    <xf numFmtId="167" fontId="7" fillId="20" borderId="116" xfId="0" applyNumberFormat="1" applyFont="1" applyFill="1" applyBorder="1" applyAlignment="1">
      <alignment horizontal="center" vertical="center"/>
    </xf>
    <xf numFmtId="167" fontId="7" fillId="37" borderId="116" xfId="0" applyNumberFormat="1" applyFont="1" applyFill="1" applyBorder="1" applyAlignment="1">
      <alignment horizontal="center" vertical="center"/>
    </xf>
    <xf numFmtId="169" fontId="7" fillId="37" borderId="31" xfId="0" applyNumberFormat="1" applyFont="1" applyFill="1" applyBorder="1" applyAlignment="1">
      <alignment horizontal="center" vertical="center"/>
    </xf>
    <xf numFmtId="167" fontId="7" fillId="22" borderId="19" xfId="0" applyNumberFormat="1" applyFont="1" applyFill="1" applyBorder="1" applyAlignment="1">
      <alignment horizontal="center" vertical="center"/>
    </xf>
    <xf numFmtId="167" fontId="7" fillId="6" borderId="19" xfId="0" applyNumberFormat="1" applyFont="1" applyFill="1" applyBorder="1" applyAlignment="1">
      <alignment horizontal="center" vertical="center"/>
    </xf>
    <xf numFmtId="167" fontId="32" fillId="38" borderId="19" xfId="0" applyNumberFormat="1" applyFont="1" applyFill="1" applyBorder="1" applyAlignment="1">
      <alignment horizontal="center" vertical="center"/>
    </xf>
    <xf numFmtId="170" fontId="32" fillId="39" borderId="112" xfId="0" applyNumberFormat="1" applyFont="1" applyFill="1" applyBorder="1" applyAlignment="1">
      <alignment horizontal="center"/>
    </xf>
    <xf numFmtId="179" fontId="7" fillId="40" borderId="117" xfId="0" applyNumberFormat="1" applyFont="1" applyFill="1" applyBorder="1" applyAlignment="1">
      <alignment horizontal="center" vertical="center"/>
    </xf>
    <xf numFmtId="164" fontId="32" fillId="23" borderId="115" xfId="0" applyFont="1" applyFill="1" applyBorder="1" applyAlignment="1">
      <alignment horizontal="center"/>
    </xf>
    <xf numFmtId="164" fontId="32" fillId="6" borderId="115" xfId="0" applyFont="1" applyFill="1" applyBorder="1" applyAlignment="1">
      <alignment horizontal="center"/>
    </xf>
    <xf numFmtId="164" fontId="32" fillId="3" borderId="111" xfId="0" applyFont="1" applyFill="1" applyBorder="1" applyAlignment="1">
      <alignment horizontal="center" vertical="center"/>
    </xf>
    <xf numFmtId="164" fontId="32" fillId="37" borderId="112" xfId="0" applyFont="1" applyFill="1" applyBorder="1" applyAlignment="1">
      <alignment horizontal="center"/>
    </xf>
    <xf numFmtId="179" fontId="7" fillId="20" borderId="117" xfId="0" applyNumberFormat="1" applyFont="1" applyFill="1" applyBorder="1" applyAlignment="1">
      <alignment horizontal="center" vertical="center"/>
    </xf>
    <xf numFmtId="164" fontId="7" fillId="7" borderId="69" xfId="0" applyFont="1" applyFill="1" applyBorder="1" applyAlignment="1">
      <alignment horizontal="center" vertical="center"/>
    </xf>
    <xf numFmtId="167" fontId="39" fillId="23" borderId="64" xfId="0" applyNumberFormat="1" applyFont="1" applyFill="1" applyBorder="1" applyAlignment="1">
      <alignment horizontal="center" vertical="center"/>
    </xf>
    <xf numFmtId="167" fontId="39" fillId="7" borderId="64" xfId="0" applyNumberFormat="1" applyFont="1" applyFill="1" applyBorder="1" applyAlignment="1">
      <alignment horizontal="center" vertical="center"/>
    </xf>
    <xf numFmtId="167" fontId="7" fillId="7" borderId="69" xfId="0" applyNumberFormat="1" applyFont="1" applyFill="1" applyBorder="1" applyAlignment="1">
      <alignment horizontal="center" vertical="center"/>
    </xf>
    <xf numFmtId="167" fontId="39" fillId="7" borderId="54" xfId="0" applyNumberFormat="1" applyFont="1" applyFill="1" applyBorder="1" applyAlignment="1">
      <alignment horizontal="center" vertical="center"/>
    </xf>
    <xf numFmtId="177" fontId="39" fillId="7" borderId="54" xfId="0" applyNumberFormat="1" applyFont="1" applyFill="1" applyBorder="1" applyAlignment="1">
      <alignment horizontal="center" vertical="center"/>
    </xf>
    <xf numFmtId="170" fontId="7" fillId="7" borderId="26" xfId="0" applyNumberFormat="1" applyFont="1" applyFill="1" applyBorder="1" applyAlignment="1">
      <alignment horizontal="center" vertical="center"/>
    </xf>
    <xf numFmtId="167" fontId="7" fillId="7" borderId="45" xfId="0" applyNumberFormat="1" applyFont="1" applyFill="1" applyBorder="1" applyAlignment="1">
      <alignment horizontal="center" vertical="center"/>
    </xf>
    <xf numFmtId="164" fontId="7" fillId="7" borderId="118" xfId="0" applyFont="1" applyFill="1" applyBorder="1" applyAlignment="1">
      <alignment horizontal="center" vertical="center"/>
    </xf>
    <xf numFmtId="167" fontId="7" fillId="20" borderId="118" xfId="0" applyNumberFormat="1" applyFont="1" applyFill="1" applyBorder="1" applyAlignment="1">
      <alignment horizontal="center" vertical="center"/>
    </xf>
    <xf numFmtId="167" fontId="7" fillId="37" borderId="118" xfId="0" applyNumberFormat="1" applyFont="1" applyFill="1" applyBorder="1" applyAlignment="1">
      <alignment horizontal="center" vertical="center"/>
    </xf>
    <xf numFmtId="167" fontId="7" fillId="22" borderId="27" xfId="0" applyNumberFormat="1" applyFont="1" applyFill="1" applyBorder="1" applyAlignment="1">
      <alignment horizontal="center" vertical="center"/>
    </xf>
    <xf numFmtId="167" fontId="7" fillId="6" borderId="27" xfId="0" applyNumberFormat="1" applyFont="1" applyFill="1" applyBorder="1" applyAlignment="1">
      <alignment horizontal="center" vertical="center"/>
    </xf>
    <xf numFmtId="167" fontId="32" fillId="38" borderId="27" xfId="0" applyNumberFormat="1" applyFont="1" applyFill="1" applyBorder="1" applyAlignment="1">
      <alignment horizontal="center" vertical="center"/>
    </xf>
    <xf numFmtId="170" fontId="32" fillId="39" borderId="69" xfId="0" applyNumberFormat="1" applyFont="1" applyFill="1" applyBorder="1" applyAlignment="1">
      <alignment horizontal="center"/>
    </xf>
    <xf numFmtId="179" fontId="7" fillId="40" borderId="39" xfId="0" applyNumberFormat="1" applyFont="1" applyFill="1" applyBorder="1" applyAlignment="1">
      <alignment horizontal="center" vertical="center"/>
    </xf>
    <xf numFmtId="164" fontId="32" fillId="23" borderId="45" xfId="0" applyFont="1" applyFill="1" applyBorder="1" applyAlignment="1">
      <alignment horizontal="center"/>
    </xf>
    <xf numFmtId="164" fontId="32" fillId="6" borderId="45" xfId="0" applyFont="1" applyFill="1" applyBorder="1" applyAlignment="1">
      <alignment horizontal="center"/>
    </xf>
    <xf numFmtId="164" fontId="32" fillId="3" borderId="26" xfId="0" applyFont="1" applyFill="1" applyBorder="1" applyAlignment="1">
      <alignment horizontal="center" vertical="center"/>
    </xf>
    <xf numFmtId="164" fontId="32" fillId="37" borderId="69" xfId="0" applyFont="1" applyFill="1" applyBorder="1" applyAlignment="1">
      <alignment horizontal="center"/>
    </xf>
    <xf numFmtId="179" fontId="7" fillId="20" borderId="39" xfId="0" applyNumberFormat="1" applyFont="1" applyFill="1" applyBorder="1" applyAlignment="1">
      <alignment horizontal="center" vertical="center"/>
    </xf>
    <xf numFmtId="164" fontId="32" fillId="3" borderId="118" xfId="0" applyFont="1" applyFill="1" applyBorder="1" applyAlignment="1">
      <alignment horizontal="center" vertical="center"/>
    </xf>
    <xf numFmtId="164" fontId="38" fillId="0" borderId="119" xfId="0" applyFont="1" applyFill="1" applyBorder="1" applyAlignment="1">
      <alignment horizontal="center" vertical="center" wrapText="1"/>
    </xf>
    <xf numFmtId="164" fontId="7" fillId="7" borderId="120" xfId="0" applyFont="1" applyFill="1" applyBorder="1" applyAlignment="1">
      <alignment horizontal="center" vertical="center"/>
    </xf>
    <xf numFmtId="167" fontId="39" fillId="23" borderId="65" xfId="0" applyNumberFormat="1" applyFont="1" applyFill="1" applyBorder="1" applyAlignment="1">
      <alignment horizontal="center" vertical="center"/>
    </xf>
    <xf numFmtId="167" fontId="39" fillId="7" borderId="65" xfId="0" applyNumberFormat="1" applyFont="1" applyFill="1" applyBorder="1" applyAlignment="1">
      <alignment horizontal="center" vertical="center"/>
    </xf>
    <xf numFmtId="167" fontId="7" fillId="7" borderId="120" xfId="0" applyNumberFormat="1" applyFont="1" applyFill="1" applyBorder="1" applyAlignment="1">
      <alignment horizontal="center" vertical="center"/>
    </xf>
    <xf numFmtId="167" fontId="39" fillId="7" borderId="55" xfId="0" applyNumberFormat="1" applyFont="1" applyFill="1" applyBorder="1" applyAlignment="1">
      <alignment horizontal="center" vertical="center"/>
    </xf>
    <xf numFmtId="177" fontId="39" fillId="7" borderId="55" xfId="0" applyNumberFormat="1" applyFont="1" applyFill="1" applyBorder="1" applyAlignment="1">
      <alignment horizontal="center" vertical="center"/>
    </xf>
    <xf numFmtId="164" fontId="7" fillId="7" borderId="119" xfId="0" applyFont="1" applyFill="1" applyBorder="1" applyAlignment="1">
      <alignment horizontal="center" vertical="center"/>
    </xf>
    <xf numFmtId="170" fontId="7" fillId="7" borderId="119" xfId="0" applyNumberFormat="1" applyFont="1" applyFill="1" applyBorder="1" applyAlignment="1">
      <alignment horizontal="center" vertical="center"/>
    </xf>
    <xf numFmtId="167" fontId="7" fillId="7" borderId="46" xfId="0" applyNumberFormat="1" applyFont="1" applyFill="1" applyBorder="1" applyAlignment="1">
      <alignment horizontal="center" vertical="center"/>
    </xf>
    <xf numFmtId="164" fontId="7" fillId="7" borderId="121" xfId="0" applyFont="1" applyFill="1" applyBorder="1" applyAlignment="1">
      <alignment horizontal="center" vertical="center"/>
    </xf>
    <xf numFmtId="167" fontId="7" fillId="20" borderId="121" xfId="0" applyNumberFormat="1" applyFont="1" applyFill="1" applyBorder="1" applyAlignment="1">
      <alignment horizontal="center" vertical="center"/>
    </xf>
    <xf numFmtId="167" fontId="7" fillId="37" borderId="121" xfId="0" applyNumberFormat="1" applyFont="1" applyFill="1" applyBorder="1" applyAlignment="1">
      <alignment horizontal="center" vertical="center"/>
    </xf>
    <xf numFmtId="167" fontId="7" fillId="22" borderId="47" xfId="0" applyNumberFormat="1" applyFont="1" applyFill="1" applyBorder="1" applyAlignment="1">
      <alignment horizontal="center" vertical="center"/>
    </xf>
    <xf numFmtId="167" fontId="7" fillId="6" borderId="47" xfId="0" applyNumberFormat="1" applyFont="1" applyFill="1" applyBorder="1" applyAlignment="1">
      <alignment horizontal="center" vertical="center"/>
    </xf>
    <xf numFmtId="167" fontId="32" fillId="38" borderId="47" xfId="0" applyNumberFormat="1" applyFont="1" applyFill="1" applyBorder="1" applyAlignment="1">
      <alignment horizontal="center" vertical="center"/>
    </xf>
    <xf numFmtId="170" fontId="32" fillId="39" borderId="120" xfId="0" applyNumberFormat="1" applyFont="1" applyFill="1" applyBorder="1" applyAlignment="1">
      <alignment horizontal="center"/>
    </xf>
    <xf numFmtId="179" fontId="7" fillId="40" borderId="28" xfId="0" applyNumberFormat="1" applyFont="1" applyFill="1" applyBorder="1" applyAlignment="1">
      <alignment horizontal="center" vertical="center"/>
    </xf>
    <xf numFmtId="164" fontId="32" fillId="23" borderId="46" xfId="0" applyFont="1" applyFill="1" applyBorder="1" applyAlignment="1">
      <alignment horizontal="center"/>
    </xf>
    <xf numFmtId="164" fontId="32" fillId="6" borderId="46" xfId="0" applyFont="1" applyFill="1" applyBorder="1" applyAlignment="1">
      <alignment horizontal="center"/>
    </xf>
    <xf numFmtId="164" fontId="32" fillId="3" borderId="121" xfId="0" applyFont="1" applyFill="1" applyBorder="1" applyAlignment="1">
      <alignment horizontal="center" vertical="center"/>
    </xf>
    <xf numFmtId="164" fontId="32" fillId="37" borderId="120" xfId="0" applyFont="1" applyFill="1" applyBorder="1" applyAlignment="1">
      <alignment horizontal="center"/>
    </xf>
    <xf numFmtId="179" fontId="7" fillId="20" borderId="28" xfId="0" applyNumberFormat="1" applyFont="1" applyFill="1" applyBorder="1" applyAlignment="1">
      <alignment horizontal="center" vertical="center"/>
    </xf>
    <xf numFmtId="164" fontId="38" fillId="0" borderId="122" xfId="0" applyFont="1" applyBorder="1" applyAlignment="1">
      <alignment horizontal="center" vertical="center" wrapText="1"/>
    </xf>
    <xf numFmtId="164" fontId="7" fillId="7" borderId="123" xfId="0" applyFont="1" applyFill="1" applyBorder="1" applyAlignment="1">
      <alignment horizontal="center" vertical="center"/>
    </xf>
    <xf numFmtId="167" fontId="39" fillId="23" borderId="124" xfId="0" applyNumberFormat="1" applyFont="1" applyFill="1" applyBorder="1" applyAlignment="1">
      <alignment horizontal="center" vertical="center"/>
    </xf>
    <xf numFmtId="167" fontId="39" fillId="7" borderId="124" xfId="0" applyNumberFormat="1" applyFont="1" applyFill="1" applyBorder="1" applyAlignment="1">
      <alignment horizontal="center" vertical="center"/>
    </xf>
    <xf numFmtId="167" fontId="7" fillId="7" borderId="123" xfId="0" applyNumberFormat="1" applyFont="1" applyFill="1" applyBorder="1" applyAlignment="1">
      <alignment horizontal="center" vertical="center"/>
    </xf>
    <xf numFmtId="167" fontId="39" fillId="7" borderId="125" xfId="0" applyNumberFormat="1" applyFont="1" applyFill="1" applyBorder="1" applyAlignment="1">
      <alignment horizontal="center" vertical="center"/>
    </xf>
    <xf numFmtId="177" fontId="39" fillId="7" borderId="125" xfId="0" applyNumberFormat="1" applyFont="1" applyFill="1" applyBorder="1" applyAlignment="1">
      <alignment horizontal="center" vertical="center"/>
    </xf>
    <xf numFmtId="164" fontId="7" fillId="7" borderId="122" xfId="0" applyFont="1" applyFill="1" applyBorder="1" applyAlignment="1">
      <alignment horizontal="center" vertical="center"/>
    </xf>
    <xf numFmtId="170" fontId="7" fillId="7" borderId="122" xfId="0" applyNumberFormat="1" applyFont="1" applyFill="1" applyBorder="1" applyAlignment="1">
      <alignment horizontal="center" vertical="center"/>
    </xf>
    <xf numFmtId="167" fontId="7" fillId="7" borderId="126" xfId="0" applyNumberFormat="1" applyFont="1" applyFill="1" applyBorder="1" applyAlignment="1">
      <alignment horizontal="center" vertical="center"/>
    </xf>
    <xf numFmtId="164" fontId="7" fillId="7" borderId="127" xfId="0" applyFont="1" applyFill="1" applyBorder="1" applyAlignment="1">
      <alignment horizontal="center" vertical="center"/>
    </xf>
    <xf numFmtId="167" fontId="7" fillId="20" borderId="127" xfId="0" applyNumberFormat="1" applyFont="1" applyFill="1" applyBorder="1" applyAlignment="1">
      <alignment horizontal="center" vertical="center"/>
    </xf>
    <xf numFmtId="167" fontId="7" fillId="37" borderId="127" xfId="0" applyNumberFormat="1" applyFont="1" applyFill="1" applyBorder="1" applyAlignment="1">
      <alignment horizontal="center" vertical="center"/>
    </xf>
    <xf numFmtId="167" fontId="7" fillId="22" borderId="96" xfId="0" applyNumberFormat="1" applyFont="1" applyFill="1" applyBorder="1" applyAlignment="1">
      <alignment horizontal="center" vertical="center"/>
    </xf>
    <xf numFmtId="167" fontId="7" fillId="6" borderId="96" xfId="0" applyNumberFormat="1" applyFont="1" applyFill="1" applyBorder="1" applyAlignment="1">
      <alignment horizontal="center" vertical="center"/>
    </xf>
    <xf numFmtId="167" fontId="32" fillId="38" borderId="96" xfId="0" applyNumberFormat="1" applyFont="1" applyFill="1" applyBorder="1" applyAlignment="1">
      <alignment horizontal="center" vertical="center"/>
    </xf>
    <xf numFmtId="170" fontId="32" fillId="39" borderId="123" xfId="0" applyNumberFormat="1" applyFont="1" applyFill="1" applyBorder="1" applyAlignment="1">
      <alignment horizontal="center"/>
    </xf>
    <xf numFmtId="179" fontId="7" fillId="40" borderId="128" xfId="0" applyNumberFormat="1" applyFont="1" applyFill="1" applyBorder="1" applyAlignment="1">
      <alignment horizontal="center" vertical="center"/>
    </xf>
    <xf numFmtId="164" fontId="32" fillId="23" borderId="96" xfId="0" applyFont="1" applyFill="1" applyBorder="1" applyAlignment="1">
      <alignment horizontal="center"/>
    </xf>
    <xf numFmtId="164" fontId="32" fillId="6" borderId="126" xfId="0" applyFont="1" applyFill="1" applyBorder="1" applyAlignment="1">
      <alignment horizontal="center"/>
    </xf>
    <xf numFmtId="164" fontId="32" fillId="3" borderId="96" xfId="0" applyFont="1" applyFill="1" applyBorder="1" applyAlignment="1">
      <alignment horizontal="center" vertical="center"/>
    </xf>
    <xf numFmtId="164" fontId="32" fillId="37" borderId="123" xfId="0" applyFont="1" applyFill="1" applyBorder="1" applyAlignment="1">
      <alignment horizontal="center"/>
    </xf>
    <xf numFmtId="179" fontId="7" fillId="20" borderId="128" xfId="0" applyNumberFormat="1" applyFont="1" applyFill="1" applyBorder="1" applyAlignment="1">
      <alignment horizontal="center" vertical="center"/>
    </xf>
    <xf numFmtId="164" fontId="37" fillId="0" borderId="37" xfId="0" applyFont="1" applyBorder="1" applyAlignment="1">
      <alignment horizontal="center" vertical="center"/>
    </xf>
    <xf numFmtId="164" fontId="38" fillId="0" borderId="20" xfId="0" applyFont="1" applyFill="1" applyBorder="1" applyAlignment="1">
      <alignment horizontal="center" vertical="center" wrapText="1"/>
    </xf>
    <xf numFmtId="164" fontId="7" fillId="41" borderId="129" xfId="0" applyFont="1" applyFill="1" applyBorder="1" applyAlignment="1">
      <alignment horizontal="center" vertical="center" wrapText="1"/>
    </xf>
    <xf numFmtId="167" fontId="39" fillId="23" borderId="130" xfId="0" applyNumberFormat="1" applyFont="1" applyFill="1" applyBorder="1" applyAlignment="1">
      <alignment horizontal="center" vertical="center"/>
    </xf>
    <xf numFmtId="167" fontId="39" fillId="7" borderId="130" xfId="0" applyNumberFormat="1" applyFont="1" applyFill="1" applyBorder="1" applyAlignment="1">
      <alignment horizontal="center" vertical="center"/>
    </xf>
    <xf numFmtId="167" fontId="7" fillId="7" borderId="129" xfId="0" applyNumberFormat="1" applyFont="1" applyFill="1" applyBorder="1" applyAlignment="1">
      <alignment horizontal="center" vertical="center"/>
    </xf>
    <xf numFmtId="167" fontId="39" fillId="7" borderId="131" xfId="0" applyNumberFormat="1" applyFont="1" applyFill="1" applyBorder="1" applyAlignment="1">
      <alignment horizontal="center" vertical="center"/>
    </xf>
    <xf numFmtId="177" fontId="39" fillId="7" borderId="131" xfId="0" applyNumberFormat="1" applyFont="1" applyFill="1" applyBorder="1" applyAlignment="1">
      <alignment horizontal="center" vertical="center"/>
    </xf>
    <xf numFmtId="170" fontId="7" fillId="7" borderId="20" xfId="0" applyNumberFormat="1" applyFont="1" applyFill="1" applyBorder="1" applyAlignment="1">
      <alignment horizontal="center" vertical="center"/>
    </xf>
    <xf numFmtId="167" fontId="7" fillId="7" borderId="63" xfId="0" applyNumberFormat="1" applyFont="1" applyFill="1" applyBorder="1" applyAlignment="1">
      <alignment horizontal="center" vertical="center"/>
    </xf>
    <xf numFmtId="164" fontId="7" fillId="7" borderId="132" xfId="0" applyFont="1" applyFill="1" applyBorder="1" applyAlignment="1">
      <alignment horizontal="center" vertical="center"/>
    </xf>
    <xf numFmtId="167" fontId="7" fillId="20" borderId="132" xfId="0" applyNumberFormat="1" applyFont="1" applyFill="1" applyBorder="1" applyAlignment="1">
      <alignment horizontal="center" vertical="center"/>
    </xf>
    <xf numFmtId="167" fontId="7" fillId="37" borderId="132" xfId="0" applyNumberFormat="1" applyFont="1" applyFill="1" applyBorder="1" applyAlignment="1">
      <alignment horizontal="center" vertical="center"/>
    </xf>
    <xf numFmtId="167" fontId="7" fillId="22" borderId="24" xfId="0" applyNumberFormat="1" applyFont="1" applyFill="1" applyBorder="1" applyAlignment="1">
      <alignment horizontal="center" vertical="center"/>
    </xf>
    <xf numFmtId="167" fontId="7" fillId="6" borderId="21" xfId="0" applyNumberFormat="1" applyFont="1" applyFill="1" applyBorder="1" applyAlignment="1">
      <alignment horizontal="center" vertical="center"/>
    </xf>
    <xf numFmtId="167" fontId="32" fillId="38" borderId="21" xfId="0" applyNumberFormat="1" applyFont="1" applyFill="1" applyBorder="1" applyAlignment="1">
      <alignment horizontal="center" vertical="center"/>
    </xf>
    <xf numFmtId="170" fontId="32" fillId="39" borderId="129" xfId="0" applyNumberFormat="1" applyFont="1" applyFill="1" applyBorder="1" applyAlignment="1">
      <alignment horizontal="center"/>
    </xf>
    <xf numFmtId="179" fontId="7" fillId="40" borderId="132" xfId="0" applyNumberFormat="1" applyFont="1" applyFill="1" applyBorder="1" applyAlignment="1">
      <alignment horizontal="center" vertical="center"/>
    </xf>
    <xf numFmtId="164" fontId="32" fillId="23" borderId="92" xfId="0" applyFont="1" applyFill="1" applyBorder="1" applyAlignment="1">
      <alignment horizontal="center"/>
    </xf>
    <xf numFmtId="164" fontId="32" fillId="6" borderId="63" xfId="0" applyFont="1" applyFill="1" applyBorder="1" applyAlignment="1">
      <alignment horizontal="center"/>
    </xf>
    <xf numFmtId="164" fontId="32" fillId="3" borderId="23" xfId="0" applyFont="1" applyFill="1" applyBorder="1" applyAlignment="1">
      <alignment horizontal="center" vertical="center"/>
    </xf>
    <xf numFmtId="164" fontId="32" fillId="37" borderId="133" xfId="0" applyFont="1" applyFill="1" applyBorder="1" applyAlignment="1">
      <alignment horizontal="center"/>
    </xf>
    <xf numFmtId="179" fontId="7" fillId="20" borderId="132" xfId="0" applyNumberFormat="1" applyFont="1" applyFill="1" applyBorder="1" applyAlignment="1">
      <alignment horizontal="center" vertical="center"/>
    </xf>
    <xf numFmtId="164" fontId="7" fillId="0" borderId="120" xfId="0" applyFont="1" applyBorder="1" applyAlignment="1">
      <alignment horizontal="center" vertical="center" wrapText="1"/>
    </xf>
    <xf numFmtId="167" fontId="7" fillId="22" borderId="100" xfId="0" applyNumberFormat="1" applyFont="1" applyFill="1" applyBorder="1" applyAlignment="1">
      <alignment horizontal="center" vertical="center"/>
    </xf>
    <xf numFmtId="167" fontId="7" fillId="6" borderId="100" xfId="0" applyNumberFormat="1" applyFont="1" applyFill="1" applyBorder="1" applyAlignment="1">
      <alignment horizontal="center" vertical="center"/>
    </xf>
    <xf numFmtId="179" fontId="7" fillId="40" borderId="121" xfId="0" applyNumberFormat="1" applyFont="1" applyFill="1" applyBorder="1" applyAlignment="1">
      <alignment horizontal="center" vertical="center"/>
    </xf>
    <xf numFmtId="164" fontId="32" fillId="6" borderId="109" xfId="0" applyFont="1" applyFill="1" applyBorder="1" applyAlignment="1">
      <alignment horizontal="center"/>
    </xf>
    <xf numFmtId="164" fontId="32" fillId="3" borderId="49" xfId="0" applyFont="1" applyFill="1" applyBorder="1" applyAlignment="1">
      <alignment horizontal="center" vertical="center"/>
    </xf>
    <xf numFmtId="164" fontId="32" fillId="37" borderId="110" xfId="0" applyFont="1" applyFill="1" applyBorder="1" applyAlignment="1">
      <alignment horizontal="center"/>
    </xf>
    <xf numFmtId="179" fontId="7" fillId="20" borderId="121" xfId="0" applyNumberFormat="1" applyFont="1" applyFill="1" applyBorder="1" applyAlignment="1">
      <alignment horizontal="center" vertical="center"/>
    </xf>
    <xf numFmtId="167" fontId="7" fillId="7" borderId="110" xfId="0" applyNumberFormat="1" applyFont="1" applyFill="1" applyBorder="1" applyAlignment="1">
      <alignment horizontal="center" vertical="center"/>
    </xf>
    <xf numFmtId="167" fontId="7" fillId="22" borderId="50" xfId="0" applyNumberFormat="1" applyFont="1" applyFill="1" applyBorder="1" applyAlignment="1">
      <alignment horizontal="center" vertical="center"/>
    </xf>
    <xf numFmtId="167" fontId="7" fillId="6" borderId="50" xfId="0" applyNumberFormat="1" applyFont="1" applyFill="1" applyBorder="1" applyAlignment="1">
      <alignment horizontal="center" vertical="center"/>
    </xf>
    <xf numFmtId="179" fontId="7" fillId="40" borderId="65" xfId="0" applyNumberFormat="1" applyFont="1" applyFill="1" applyBorder="1" applyAlignment="1">
      <alignment horizontal="center" vertical="center"/>
    </xf>
    <xf numFmtId="164" fontId="32" fillId="6" borderId="92" xfId="0" applyFont="1" applyFill="1" applyBorder="1" applyAlignment="1">
      <alignment horizontal="center"/>
    </xf>
    <xf numFmtId="179" fontId="7" fillId="20" borderId="65" xfId="0" applyNumberFormat="1" applyFont="1" applyFill="1" applyBorder="1" applyAlignment="1">
      <alignment horizontal="center" vertical="center"/>
    </xf>
    <xf numFmtId="164" fontId="37" fillId="0" borderId="125" xfId="0" applyFont="1" applyBorder="1" applyAlignment="1">
      <alignment horizontal="center" vertical="center" textRotation="90"/>
    </xf>
    <xf numFmtId="164" fontId="38" fillId="0" borderId="26" xfId="0" applyFont="1" applyFill="1" applyBorder="1" applyAlignment="1">
      <alignment horizontal="center" vertical="center"/>
    </xf>
    <xf numFmtId="164" fontId="27" fillId="7" borderId="69" xfId="0" applyFont="1" applyFill="1" applyBorder="1" applyAlignment="1">
      <alignment horizontal="center" vertical="center" wrapText="1"/>
    </xf>
    <xf numFmtId="169" fontId="0" fillId="0" borderId="27" xfId="0" applyNumberFormat="1" applyBorder="1" applyAlignment="1">
      <alignment horizontal="center" vertical="center"/>
    </xf>
    <xf numFmtId="179" fontId="39" fillId="7" borderId="64" xfId="0" applyNumberFormat="1" applyFont="1" applyFill="1" applyBorder="1" applyAlignment="1">
      <alignment horizontal="center" vertical="center"/>
    </xf>
    <xf numFmtId="164" fontId="7" fillId="7" borderId="54" xfId="0" applyNumberFormat="1" applyFont="1" applyFill="1" applyBorder="1" applyAlignment="1">
      <alignment horizontal="center" vertical="center"/>
    </xf>
    <xf numFmtId="179" fontId="7" fillId="7" borderId="64" xfId="0" applyNumberFormat="1" applyFont="1" applyFill="1" applyBorder="1" applyAlignment="1">
      <alignment horizontal="center" vertical="center"/>
    </xf>
    <xf numFmtId="164" fontId="27" fillId="7" borderId="120" xfId="0" applyFont="1" applyFill="1" applyBorder="1" applyAlignment="1">
      <alignment horizontal="center" vertical="center" wrapText="1"/>
    </xf>
    <xf numFmtId="169" fontId="0" fillId="0" borderId="47" xfId="0" applyNumberFormat="1" applyBorder="1" applyAlignment="1">
      <alignment horizontal="center" vertical="center"/>
    </xf>
    <xf numFmtId="164" fontId="32" fillId="3" borderId="119" xfId="0" applyFont="1" applyFill="1" applyBorder="1" applyAlignment="1">
      <alignment horizontal="center" vertical="center"/>
    </xf>
    <xf numFmtId="168" fontId="0" fillId="0" borderId="96" xfId="0" applyNumberFormat="1" applyBorder="1" applyAlignment="1">
      <alignment horizontal="center" vertical="center"/>
    </xf>
    <xf numFmtId="164" fontId="32" fillId="23" borderId="126" xfId="0" applyFont="1" applyFill="1" applyBorder="1" applyAlignment="1">
      <alignment horizontal="center"/>
    </xf>
    <xf numFmtId="164" fontId="32" fillId="3" borderId="122" xfId="0" applyFont="1" applyFill="1" applyBorder="1" applyAlignment="1">
      <alignment horizontal="center" vertical="center"/>
    </xf>
    <xf numFmtId="164" fontId="37" fillId="0" borderId="125" xfId="0" applyFont="1" applyBorder="1" applyAlignment="1">
      <alignment horizontal="center" vertical="center" textRotation="90" wrapText="1"/>
    </xf>
    <xf numFmtId="164" fontId="38" fillId="0" borderId="122" xfId="0" applyFont="1" applyFill="1" applyBorder="1" applyAlignment="1">
      <alignment horizontal="center" vertical="center" wrapText="1"/>
    </xf>
    <xf numFmtId="164" fontId="7" fillId="7" borderId="69" xfId="0" applyFont="1" applyFill="1" applyBorder="1" applyAlignment="1">
      <alignment horizontal="center" vertical="center" wrapText="1"/>
    </xf>
    <xf numFmtId="164" fontId="7" fillId="7" borderId="64" xfId="0" applyNumberFormat="1" applyFont="1" applyFill="1" applyBorder="1" applyAlignment="1">
      <alignment horizontal="center" vertical="center"/>
    </xf>
    <xf numFmtId="177" fontId="7" fillId="7" borderId="54" xfId="0" applyNumberFormat="1" applyFont="1" applyFill="1" applyBorder="1" applyAlignment="1">
      <alignment horizontal="center" vertical="center"/>
    </xf>
    <xf numFmtId="164" fontId="7" fillId="7" borderId="123" xfId="0" applyFont="1" applyFill="1" applyBorder="1" applyAlignment="1">
      <alignment horizontal="center" vertical="center" wrapText="1"/>
    </xf>
    <xf numFmtId="164" fontId="37" fillId="0" borderId="43" xfId="0" applyFont="1" applyBorder="1" applyAlignment="1">
      <alignment horizontal="center" vertical="center" wrapText="1"/>
    </xf>
    <xf numFmtId="164" fontId="38" fillId="0" borderId="23" xfId="0" applyFont="1" applyFill="1" applyBorder="1" applyAlignment="1">
      <alignment horizontal="center" vertical="center" wrapText="1"/>
    </xf>
    <xf numFmtId="164" fontId="7" fillId="7" borderId="133" xfId="0" applyFont="1" applyFill="1" applyBorder="1" applyAlignment="1">
      <alignment horizontal="center" vertical="center" wrapText="1"/>
    </xf>
    <xf numFmtId="164" fontId="7" fillId="7" borderId="125" xfId="0" applyNumberFormat="1" applyFont="1" applyFill="1" applyBorder="1" applyAlignment="1">
      <alignment horizontal="center" vertical="center"/>
    </xf>
    <xf numFmtId="167" fontId="7" fillId="20" borderId="98" xfId="0" applyNumberFormat="1" applyFont="1" applyFill="1" applyBorder="1" applyAlignment="1">
      <alignment horizontal="center" vertical="center"/>
    </xf>
    <xf numFmtId="167" fontId="7" fillId="37" borderId="84" xfId="0" applyNumberFormat="1" applyFont="1" applyFill="1" applyBorder="1" applyAlignment="1">
      <alignment horizontal="center" vertical="center"/>
    </xf>
    <xf numFmtId="168" fontId="0" fillId="0" borderId="24" xfId="0" applyNumberFormat="1" applyBorder="1" applyAlignment="1">
      <alignment horizontal="center" vertical="center"/>
    </xf>
    <xf numFmtId="167" fontId="7" fillId="22" borderId="17" xfId="0" applyNumberFormat="1" applyFont="1" applyFill="1" applyBorder="1" applyAlignment="1">
      <alignment horizontal="center" vertical="center"/>
    </xf>
    <xf numFmtId="167" fontId="7" fillId="6" borderId="24" xfId="0" applyNumberFormat="1" applyFont="1" applyFill="1" applyBorder="1" applyAlignment="1">
      <alignment horizontal="center" vertical="center"/>
    </xf>
    <xf numFmtId="167" fontId="32" fillId="38" borderId="17" xfId="0" applyNumberFormat="1" applyFont="1" applyFill="1" applyBorder="1" applyAlignment="1">
      <alignment horizontal="center" vertical="center"/>
    </xf>
    <xf numFmtId="170" fontId="32" fillId="39" borderId="88" xfId="0" applyNumberFormat="1" applyFont="1" applyFill="1" applyBorder="1" applyAlignment="1">
      <alignment horizontal="center"/>
    </xf>
    <xf numFmtId="179" fontId="7" fillId="40" borderId="134" xfId="0" applyNumberFormat="1" applyFont="1" applyFill="1" applyBorder="1" applyAlignment="1">
      <alignment horizontal="center" vertical="center"/>
    </xf>
    <xf numFmtId="164" fontId="32" fillId="23" borderId="25" xfId="0" applyFont="1" applyFill="1" applyBorder="1" applyAlignment="1">
      <alignment horizontal="center"/>
    </xf>
    <xf numFmtId="164" fontId="32" fillId="6" borderId="32" xfId="0" applyFont="1" applyFill="1" applyBorder="1" applyAlignment="1">
      <alignment horizontal="center"/>
    </xf>
    <xf numFmtId="179" fontId="7" fillId="20" borderId="134" xfId="0" applyNumberFormat="1" applyFont="1" applyFill="1" applyBorder="1" applyAlignment="1">
      <alignment horizontal="center" vertical="center"/>
    </xf>
    <xf numFmtId="164" fontId="37" fillId="0" borderId="37" xfId="0" applyFont="1" applyBorder="1" applyAlignment="1">
      <alignment horizontal="center" vertical="center" textRotation="90" wrapText="1"/>
    </xf>
    <xf numFmtId="164" fontId="38" fillId="0" borderId="49" xfId="0" applyFont="1" applyFill="1" applyBorder="1" applyAlignment="1">
      <alignment horizontal="center" vertical="center"/>
    </xf>
    <xf numFmtId="164" fontId="7" fillId="7" borderId="129" xfId="0" applyFont="1" applyFill="1" applyBorder="1" applyAlignment="1">
      <alignment horizontal="center" vertical="center" wrapText="1"/>
    </xf>
    <xf numFmtId="179" fontId="39" fillId="7" borderId="130" xfId="0" applyNumberFormat="1" applyFont="1" applyFill="1" applyBorder="1" applyAlignment="1">
      <alignment horizontal="center" vertical="center"/>
    </xf>
    <xf numFmtId="164" fontId="7" fillId="7" borderId="131" xfId="0" applyNumberFormat="1" applyFont="1" applyFill="1" applyBorder="1" applyAlignment="1">
      <alignment horizontal="center" vertical="center"/>
    </xf>
    <xf numFmtId="179" fontId="7" fillId="7" borderId="131" xfId="0" applyNumberFormat="1" applyFont="1" applyFill="1" applyBorder="1" applyAlignment="1">
      <alignment horizontal="center" vertical="center"/>
    </xf>
    <xf numFmtId="167" fontId="7" fillId="37" borderId="98" xfId="0" applyNumberFormat="1" applyFont="1" applyFill="1" applyBorder="1" applyAlignment="1">
      <alignment horizontal="center" vertical="center"/>
    </xf>
    <xf numFmtId="168" fontId="7" fillId="37" borderId="50" xfId="0" applyNumberFormat="1" applyFont="1" applyFill="1" applyBorder="1" applyAlignment="1">
      <alignment horizontal="center" vertical="center"/>
    </xf>
    <xf numFmtId="167" fontId="32" fillId="38" borderId="24" xfId="0" applyNumberFormat="1" applyFont="1" applyFill="1" applyBorder="1" applyAlignment="1">
      <alignment horizontal="center" vertical="center"/>
    </xf>
    <xf numFmtId="164" fontId="32" fillId="23" borderId="63" xfId="0" applyFont="1" applyFill="1" applyBorder="1" applyAlignment="1">
      <alignment horizontal="center"/>
    </xf>
    <xf numFmtId="164" fontId="32" fillId="3" borderId="20" xfId="0" applyFont="1" applyFill="1" applyBorder="1" applyAlignment="1">
      <alignment horizontal="center" vertical="center"/>
    </xf>
    <xf numFmtId="164" fontId="32" fillId="37" borderId="129" xfId="0" applyFont="1" applyFill="1" applyBorder="1" applyAlignment="1">
      <alignment horizontal="center"/>
    </xf>
    <xf numFmtId="177" fontId="7" fillId="7" borderId="26" xfId="0" applyNumberFormat="1" applyFont="1" applyFill="1" applyBorder="1" applyAlignment="1">
      <alignment horizontal="center" vertical="center"/>
    </xf>
    <xf numFmtId="164" fontId="7" fillId="0" borderId="26" xfId="0" applyFont="1" applyFill="1" applyBorder="1" applyAlignment="1">
      <alignment horizontal="center" vertical="center"/>
    </xf>
    <xf numFmtId="170" fontId="32" fillId="39" borderId="68" xfId="0" applyNumberFormat="1" applyFont="1" applyFill="1" applyBorder="1" applyAlignment="1">
      <alignment horizontal="center"/>
    </xf>
    <xf numFmtId="179" fontId="7" fillId="40" borderId="118" xfId="0" applyNumberFormat="1" applyFont="1" applyFill="1" applyBorder="1" applyAlignment="1">
      <alignment horizontal="center" vertical="center"/>
    </xf>
    <xf numFmtId="179" fontId="7" fillId="20" borderId="118" xfId="0" applyNumberFormat="1" applyFont="1" applyFill="1" applyBorder="1" applyAlignment="1">
      <alignment horizontal="center" vertical="center"/>
    </xf>
    <xf numFmtId="164" fontId="32" fillId="23" borderId="66" xfId="0" applyFont="1" applyFill="1" applyBorder="1" applyAlignment="1">
      <alignment horizontal="center"/>
    </xf>
    <xf numFmtId="164" fontId="32" fillId="6" borderId="66" xfId="0" applyFont="1" applyFill="1" applyBorder="1" applyAlignment="1">
      <alignment horizontal="center"/>
    </xf>
    <xf numFmtId="164" fontId="32" fillId="3" borderId="31" xfId="0" applyFont="1" applyFill="1" applyBorder="1" applyAlignment="1">
      <alignment horizontal="center" vertical="center"/>
    </xf>
    <xf numFmtId="164" fontId="32" fillId="37" borderId="89" xfId="0" applyFont="1" applyFill="1" applyBorder="1" applyAlignment="1">
      <alignment horizontal="center"/>
    </xf>
    <xf numFmtId="164" fontId="7" fillId="7" borderId="120" xfId="0" applyFont="1" applyFill="1" applyBorder="1" applyAlignment="1">
      <alignment horizontal="center" vertical="center" wrapText="1"/>
    </xf>
    <xf numFmtId="164" fontId="7" fillId="7" borderId="65" xfId="0" applyNumberFormat="1" applyFont="1" applyFill="1" applyBorder="1" applyAlignment="1">
      <alignment horizontal="center" vertical="center"/>
    </xf>
    <xf numFmtId="164" fontId="7" fillId="7" borderId="55" xfId="0" applyNumberFormat="1" applyFont="1" applyFill="1" applyBorder="1" applyAlignment="1">
      <alignment horizontal="center" vertical="center"/>
    </xf>
    <xf numFmtId="177" fontId="7" fillId="7" borderId="55" xfId="0" applyNumberFormat="1" applyFont="1" applyFill="1" applyBorder="1" applyAlignment="1">
      <alignment horizontal="center" vertical="center"/>
    </xf>
    <xf numFmtId="167" fontId="7" fillId="37" borderId="135" xfId="0" applyNumberFormat="1" applyFont="1" applyFill="1" applyBorder="1" applyAlignment="1">
      <alignment horizontal="center" vertical="center"/>
    </xf>
    <xf numFmtId="167" fontId="32" fillId="38" borderId="100" xfId="0" applyNumberFormat="1" applyFont="1" applyFill="1" applyBorder="1" applyAlignment="1">
      <alignment horizontal="center" vertical="center"/>
    </xf>
    <xf numFmtId="170" fontId="32" fillId="39" borderId="53" xfId="0" applyNumberFormat="1" applyFont="1" applyFill="1" applyBorder="1" applyAlignment="1">
      <alignment horizontal="center"/>
    </xf>
    <xf numFmtId="164" fontId="32" fillId="23" borderId="50" xfId="0" applyFont="1" applyFill="1" applyBorder="1" applyAlignment="1">
      <alignment horizontal="center"/>
    </xf>
    <xf numFmtId="164" fontId="32" fillId="6" borderId="50" xfId="0" applyFont="1" applyFill="1" applyBorder="1" applyAlignment="1">
      <alignment horizontal="center"/>
    </xf>
    <xf numFmtId="164" fontId="32" fillId="3" borderId="50" xfId="0" applyFont="1" applyFill="1" applyBorder="1" applyAlignment="1">
      <alignment horizontal="center" vertical="center"/>
    </xf>
    <xf numFmtId="164" fontId="37" fillId="0" borderId="73" xfId="0" applyFont="1" applyBorder="1" applyAlignment="1">
      <alignment horizontal="center" vertical="center" textRotation="90" wrapText="1"/>
    </xf>
    <xf numFmtId="164" fontId="38" fillId="0" borderId="30" xfId="0" applyFont="1" applyFill="1" applyBorder="1" applyAlignment="1">
      <alignment horizontal="center" vertical="center"/>
    </xf>
    <xf numFmtId="169" fontId="7" fillId="2" borderId="31" xfId="0" applyNumberFormat="1" applyFont="1" applyFill="1" applyBorder="1" applyAlignment="1">
      <alignment horizontal="center" vertical="center"/>
    </xf>
    <xf numFmtId="164" fontId="27" fillId="7" borderId="69" xfId="0" applyFont="1" applyFill="1" applyBorder="1" applyAlignment="1">
      <alignment horizontal="center" vertical="center"/>
    </xf>
    <xf numFmtId="164" fontId="32" fillId="25" borderId="45" xfId="0" applyFont="1" applyFill="1" applyBorder="1" applyAlignment="1">
      <alignment horizontal="center"/>
    </xf>
    <xf numFmtId="167" fontId="7" fillId="42" borderId="118" xfId="0" applyNumberFormat="1" applyFont="1" applyFill="1" applyBorder="1" applyAlignment="1">
      <alignment horizontal="center" vertical="center"/>
    </xf>
    <xf numFmtId="179" fontId="7" fillId="43" borderId="39" xfId="0" applyNumberFormat="1" applyFont="1" applyFill="1" applyBorder="1" applyAlignment="1">
      <alignment horizontal="center" vertical="center"/>
    </xf>
    <xf numFmtId="179" fontId="7" fillId="42" borderId="39" xfId="0" applyNumberFormat="1" applyFont="1" applyFill="1" applyBorder="1" applyAlignment="1">
      <alignment horizontal="center" vertical="center"/>
    </xf>
    <xf numFmtId="164" fontId="27" fillId="7" borderId="123" xfId="0" applyFont="1" applyFill="1" applyBorder="1" applyAlignment="1">
      <alignment horizontal="center" vertical="center"/>
    </xf>
    <xf numFmtId="164" fontId="37" fillId="0" borderId="72" xfId="0" applyFont="1" applyBorder="1" applyAlignment="1">
      <alignment horizontal="center" vertical="center" textRotation="90" wrapText="1"/>
    </xf>
    <xf numFmtId="164" fontId="38" fillId="0" borderId="30" xfId="0" applyFont="1" applyBorder="1" applyAlignment="1">
      <alignment horizontal="center" vertical="center"/>
    </xf>
    <xf numFmtId="164" fontId="27" fillId="7" borderId="112" xfId="0" applyFont="1" applyFill="1" applyBorder="1" applyAlignment="1">
      <alignment horizontal="center" vertical="center" wrapText="1"/>
    </xf>
    <xf numFmtId="168" fontId="7" fillId="22" borderId="31" xfId="0" applyNumberFormat="1" applyFont="1" applyFill="1" applyBorder="1" applyAlignment="1">
      <alignment horizontal="center" vertical="center"/>
    </xf>
    <xf numFmtId="164" fontId="27" fillId="7" borderId="123" xfId="0" applyFont="1" applyFill="1" applyBorder="1" applyAlignment="1">
      <alignment horizontal="center" vertical="center" wrapText="1"/>
    </xf>
    <xf numFmtId="164" fontId="38" fillId="0" borderId="49" xfId="0" applyFont="1" applyBorder="1" applyAlignment="1">
      <alignment horizontal="center" vertical="center"/>
    </xf>
    <xf numFmtId="164" fontId="27" fillId="7" borderId="110" xfId="0" applyFont="1" applyFill="1" applyBorder="1" applyAlignment="1">
      <alignment horizontal="center" vertical="center" wrapText="1"/>
    </xf>
    <xf numFmtId="167" fontId="39" fillId="23" borderId="0" xfId="0" applyNumberFormat="1" applyFont="1" applyFill="1" applyBorder="1" applyAlignment="1">
      <alignment horizontal="center" vertical="center"/>
    </xf>
    <xf numFmtId="167" fontId="39" fillId="7" borderId="0" xfId="0" applyNumberFormat="1" applyFont="1" applyFill="1" applyBorder="1" applyAlignment="1">
      <alignment horizontal="center" vertical="center"/>
    </xf>
    <xf numFmtId="167" fontId="39" fillId="7" borderId="37" xfId="0" applyNumberFormat="1" applyFont="1" applyFill="1" applyBorder="1" applyAlignment="1">
      <alignment horizontal="center" vertical="center"/>
    </xf>
    <xf numFmtId="177" fontId="39" fillId="7" borderId="37" xfId="0" applyNumberFormat="1" applyFont="1" applyFill="1" applyBorder="1" applyAlignment="1">
      <alignment horizontal="center" vertical="center"/>
    </xf>
    <xf numFmtId="170" fontId="7" fillId="7" borderId="49" xfId="0" applyNumberFormat="1" applyFont="1" applyFill="1" applyBorder="1" applyAlignment="1">
      <alignment horizontal="center" vertical="center"/>
    </xf>
    <xf numFmtId="167" fontId="7" fillId="7" borderId="92" xfId="0" applyNumberFormat="1" applyFont="1" applyFill="1" applyBorder="1" applyAlignment="1">
      <alignment horizontal="center" vertical="center"/>
    </xf>
    <xf numFmtId="164" fontId="7" fillId="7" borderId="97" xfId="0" applyFont="1" applyFill="1" applyBorder="1" applyAlignment="1">
      <alignment horizontal="center" vertical="center"/>
    </xf>
    <xf numFmtId="167" fontId="7" fillId="20" borderId="97" xfId="0" applyNumberFormat="1" applyFont="1" applyFill="1" applyBorder="1" applyAlignment="1">
      <alignment horizontal="center" vertical="center"/>
    </xf>
    <xf numFmtId="167" fontId="7" fillId="37" borderId="97" xfId="0" applyNumberFormat="1" applyFont="1" applyFill="1" applyBorder="1" applyAlignment="1">
      <alignment horizontal="center" vertical="center"/>
    </xf>
    <xf numFmtId="164" fontId="0" fillId="22" borderId="97" xfId="0" applyFill="1" applyBorder="1" applyAlignment="1">
      <alignment horizontal="center" vertical="center"/>
    </xf>
    <xf numFmtId="167" fontId="32" fillId="38" borderId="50" xfId="0" applyNumberFormat="1" applyFont="1" applyFill="1" applyBorder="1" applyAlignment="1">
      <alignment horizontal="center" vertical="center"/>
    </xf>
    <xf numFmtId="170" fontId="32" fillId="39" borderId="110" xfId="0" applyNumberFormat="1" applyFont="1" applyFill="1" applyBorder="1" applyAlignment="1">
      <alignment horizontal="center"/>
    </xf>
    <xf numFmtId="179" fontId="7" fillId="40" borderId="56" xfId="0" applyNumberFormat="1" applyFont="1" applyFill="1" applyBorder="1" applyAlignment="1">
      <alignment horizontal="center" vertical="center"/>
    </xf>
    <xf numFmtId="179" fontId="7" fillId="20" borderId="56" xfId="0" applyNumberFormat="1" applyFont="1" applyFill="1" applyBorder="1" applyAlignment="1">
      <alignment horizontal="center" vertical="center"/>
    </xf>
    <xf numFmtId="164" fontId="38" fillId="0" borderId="122" xfId="0" applyFont="1" applyBorder="1" applyAlignment="1">
      <alignment horizontal="center" vertical="center"/>
    </xf>
    <xf numFmtId="164" fontId="7" fillId="7" borderId="117" xfId="0" applyFont="1" applyFill="1" applyBorder="1" applyAlignment="1">
      <alignment horizontal="center" vertical="center"/>
    </xf>
    <xf numFmtId="169" fontId="7" fillId="37" borderId="19" xfId="0" applyNumberFormat="1" applyFont="1" applyFill="1" applyBorder="1" applyAlignment="1">
      <alignment horizontal="center" vertical="center"/>
    </xf>
    <xf numFmtId="164" fontId="7" fillId="7" borderId="39" xfId="0" applyFont="1" applyFill="1" applyBorder="1" applyAlignment="1">
      <alignment horizontal="center" vertical="center"/>
    </xf>
    <xf numFmtId="169" fontId="0" fillId="2" borderId="27" xfId="0" applyNumberFormat="1" applyFill="1" applyBorder="1" applyAlignment="1">
      <alignment horizontal="center" vertical="center"/>
    </xf>
    <xf numFmtId="164" fontId="7" fillId="7" borderId="128" xfId="0" applyFont="1" applyFill="1" applyBorder="1" applyAlignment="1">
      <alignment horizontal="center" vertical="center"/>
    </xf>
    <xf numFmtId="164" fontId="7" fillId="7" borderId="113" xfId="0" applyNumberFormat="1" applyFont="1" applyFill="1" applyBorder="1" applyAlignment="1">
      <alignment horizontal="center" vertical="center"/>
    </xf>
    <xf numFmtId="164" fontId="7" fillId="7" borderId="114" xfId="0" applyNumberFormat="1" applyFont="1" applyFill="1" applyBorder="1" applyAlignment="1">
      <alignment horizontal="center" vertical="center"/>
    </xf>
    <xf numFmtId="177" fontId="7" fillId="7" borderId="114" xfId="0" applyNumberFormat="1" applyFont="1" applyFill="1" applyBorder="1" applyAlignment="1">
      <alignment horizontal="center" vertical="center"/>
    </xf>
    <xf numFmtId="164" fontId="7" fillId="7" borderId="124" xfId="0" applyNumberFormat="1" applyFont="1" applyFill="1" applyBorder="1" applyAlignment="1">
      <alignment horizontal="center" vertical="center"/>
    </xf>
    <xf numFmtId="177" fontId="7" fillId="7" borderId="125" xfId="0" applyNumberFormat="1" applyFont="1" applyFill="1" applyBorder="1" applyAlignment="1">
      <alignment horizontal="center" vertical="center"/>
    </xf>
    <xf numFmtId="164" fontId="38" fillId="0" borderId="111" xfId="0" applyFont="1" applyBorder="1" applyAlignment="1">
      <alignment horizontal="center" vertical="center"/>
    </xf>
    <xf numFmtId="164" fontId="38" fillId="0" borderId="125" xfId="0" applyFont="1" applyBorder="1" applyAlignment="1">
      <alignment horizontal="center" vertical="center"/>
    </xf>
    <xf numFmtId="167" fontId="7" fillId="42" borderId="116" xfId="0" applyNumberFormat="1" applyFont="1" applyFill="1" applyBorder="1" applyAlignment="1">
      <alignment horizontal="center" vertical="center"/>
    </xf>
    <xf numFmtId="167" fontId="7" fillId="44" borderId="116" xfId="0" applyNumberFormat="1" applyFont="1" applyFill="1" applyBorder="1" applyAlignment="1">
      <alignment horizontal="center" vertical="center"/>
    </xf>
    <xf numFmtId="179" fontId="7" fillId="43" borderId="117" xfId="0" applyNumberFormat="1" applyFont="1" applyFill="1" applyBorder="1" applyAlignment="1">
      <alignment horizontal="center" vertical="center"/>
    </xf>
    <xf numFmtId="179" fontId="7" fillId="42" borderId="117" xfId="0" applyNumberFormat="1" applyFont="1" applyFill="1" applyBorder="1" applyAlignment="1">
      <alignment horizontal="center" vertical="center"/>
    </xf>
    <xf numFmtId="167" fontId="7" fillId="44" borderId="118" xfId="0" applyNumberFormat="1" applyFont="1" applyFill="1" applyBorder="1" applyAlignment="1">
      <alignment horizontal="center" vertical="center"/>
    </xf>
    <xf numFmtId="167" fontId="7" fillId="42" borderId="127" xfId="0" applyNumberFormat="1" applyFont="1" applyFill="1" applyBorder="1" applyAlignment="1">
      <alignment horizontal="center" vertical="center"/>
    </xf>
    <xf numFmtId="167" fontId="7" fillId="44" borderId="127" xfId="0" applyNumberFormat="1" applyFont="1" applyFill="1" applyBorder="1" applyAlignment="1">
      <alignment horizontal="center" vertical="center"/>
    </xf>
    <xf numFmtId="179" fontId="7" fillId="43" borderId="128" xfId="0" applyNumberFormat="1" applyFont="1" applyFill="1" applyBorder="1" applyAlignment="1">
      <alignment horizontal="center" vertical="center"/>
    </xf>
    <xf numFmtId="179" fontId="7" fillId="42" borderId="128" xfId="0" applyNumberFormat="1" applyFont="1" applyFill="1" applyBorder="1" applyAlignment="1">
      <alignment horizontal="center" vertical="center"/>
    </xf>
    <xf numFmtId="164" fontId="37" fillId="0" borderId="73" xfId="0" applyFont="1" applyBorder="1" applyAlignment="1">
      <alignment horizontal="center" vertical="center" wrapText="1"/>
    </xf>
    <xf numFmtId="164" fontId="38" fillId="0" borderId="30" xfId="0" applyFont="1" applyBorder="1" applyAlignment="1">
      <alignment horizontal="center" vertical="center" wrapText="1"/>
    </xf>
    <xf numFmtId="164" fontId="7" fillId="7" borderId="89" xfId="0" applyFont="1" applyFill="1" applyBorder="1" applyAlignment="1">
      <alignment horizontal="center" vertical="center"/>
    </xf>
    <xf numFmtId="167" fontId="39" fillId="23" borderId="99" xfId="0" applyNumberFormat="1" applyFont="1" applyFill="1" applyBorder="1" applyAlignment="1">
      <alignment horizontal="center" vertical="center"/>
    </xf>
    <xf numFmtId="167" fontId="39" fillId="7" borderId="99" xfId="0" applyNumberFormat="1" applyFont="1" applyFill="1" applyBorder="1" applyAlignment="1">
      <alignment horizontal="center" vertical="center"/>
    </xf>
    <xf numFmtId="167" fontId="7" fillId="7" borderId="89" xfId="0" applyNumberFormat="1" applyFont="1" applyFill="1" applyBorder="1" applyAlignment="1">
      <alignment horizontal="center" vertical="center"/>
    </xf>
    <xf numFmtId="167" fontId="39" fillId="7" borderId="73" xfId="0" applyNumberFormat="1" applyFont="1" applyFill="1" applyBorder="1" applyAlignment="1">
      <alignment horizontal="center" vertical="center"/>
    </xf>
    <xf numFmtId="177" fontId="39" fillId="7" borderId="73" xfId="0" applyNumberFormat="1" applyFont="1" applyFill="1" applyBorder="1" applyAlignment="1">
      <alignment horizontal="center" vertical="center"/>
    </xf>
    <xf numFmtId="164" fontId="7" fillId="7" borderId="30" xfId="0" applyFont="1" applyFill="1" applyBorder="1" applyAlignment="1">
      <alignment horizontal="center" vertical="center"/>
    </xf>
    <xf numFmtId="170" fontId="7" fillId="7" borderId="30" xfId="0" applyNumberFormat="1" applyFont="1" applyFill="1" applyBorder="1" applyAlignment="1">
      <alignment horizontal="center" vertical="center"/>
    </xf>
    <xf numFmtId="167" fontId="7" fillId="7" borderId="32" xfId="0" applyNumberFormat="1" applyFont="1" applyFill="1" applyBorder="1" applyAlignment="1">
      <alignment horizontal="center" vertical="center"/>
    </xf>
    <xf numFmtId="164" fontId="7" fillId="7" borderId="90" xfId="0" applyFont="1" applyFill="1" applyBorder="1" applyAlignment="1">
      <alignment horizontal="center" vertical="center"/>
    </xf>
    <xf numFmtId="167" fontId="7" fillId="20" borderId="90" xfId="0" applyNumberFormat="1" applyFont="1" applyFill="1" applyBorder="1" applyAlignment="1">
      <alignment horizontal="center" vertical="center"/>
    </xf>
    <xf numFmtId="167" fontId="7" fillId="37" borderId="90" xfId="0" applyNumberFormat="1" applyFont="1" applyFill="1" applyBorder="1" applyAlignment="1">
      <alignment horizontal="center" vertical="center"/>
    </xf>
    <xf numFmtId="167" fontId="7" fillId="22" borderId="31" xfId="0" applyNumberFormat="1" applyFont="1" applyFill="1" applyBorder="1" applyAlignment="1">
      <alignment horizontal="center" vertical="center"/>
    </xf>
    <xf numFmtId="167" fontId="7" fillId="6" borderId="31" xfId="0" applyNumberFormat="1" applyFont="1" applyFill="1" applyBorder="1" applyAlignment="1">
      <alignment horizontal="center" vertical="center"/>
    </xf>
    <xf numFmtId="167" fontId="32" fillId="38" borderId="31" xfId="0" applyNumberFormat="1" applyFont="1" applyFill="1" applyBorder="1" applyAlignment="1">
      <alignment horizontal="center" vertical="center"/>
    </xf>
    <xf numFmtId="170" fontId="32" fillId="39" borderId="89" xfId="0" applyNumberFormat="1" applyFont="1" applyFill="1" applyBorder="1" applyAlignment="1">
      <alignment horizontal="center"/>
    </xf>
    <xf numFmtId="179" fontId="7" fillId="40" borderId="136" xfId="0" applyNumberFormat="1" applyFont="1" applyFill="1" applyBorder="1" applyAlignment="1">
      <alignment horizontal="center" vertical="center"/>
    </xf>
    <xf numFmtId="164" fontId="32" fillId="23" borderId="32" xfId="0" applyFont="1" applyFill="1" applyBorder="1" applyAlignment="1">
      <alignment horizontal="center"/>
    </xf>
    <xf numFmtId="164" fontId="32" fillId="3" borderId="30" xfId="0" applyFont="1" applyFill="1" applyBorder="1" applyAlignment="1">
      <alignment horizontal="center" vertical="center"/>
    </xf>
    <xf numFmtId="179" fontId="7" fillId="20" borderId="136" xfId="0" applyNumberFormat="1" applyFont="1" applyFill="1" applyBorder="1" applyAlignment="1">
      <alignment horizontal="center" vertical="center"/>
    </xf>
    <xf numFmtId="164" fontId="37" fillId="0" borderId="7" xfId="0" applyFont="1" applyBorder="1" applyAlignment="1">
      <alignment horizontal="center" vertical="center" wrapText="1"/>
    </xf>
    <xf numFmtId="164" fontId="38" fillId="0" borderId="20" xfId="0" applyFont="1" applyBorder="1" applyAlignment="1">
      <alignment horizontal="center" vertical="center"/>
    </xf>
    <xf numFmtId="164" fontId="7" fillId="7" borderId="129" xfId="0" applyFont="1" applyFill="1" applyBorder="1" applyAlignment="1">
      <alignment horizontal="center" vertical="center"/>
    </xf>
    <xf numFmtId="168" fontId="7" fillId="37" borderId="59" xfId="0" applyNumberFormat="1" applyFont="1" applyFill="1" applyBorder="1" applyAlignment="1">
      <alignment horizontal="center" vertical="center"/>
    </xf>
    <xf numFmtId="167" fontId="7" fillId="6" borderId="59" xfId="0" applyNumberFormat="1" applyFont="1" applyFill="1" applyBorder="1" applyAlignment="1">
      <alignment horizontal="center" vertical="center"/>
    </xf>
    <xf numFmtId="164" fontId="7" fillId="7" borderId="131" xfId="0" applyFont="1" applyFill="1" applyBorder="1" applyAlignment="1">
      <alignment horizontal="center" vertical="center"/>
    </xf>
    <xf numFmtId="167" fontId="7" fillId="37" borderId="137" xfId="0" applyNumberFormat="1" applyFont="1" applyFill="1" applyBorder="1" applyAlignment="1">
      <alignment horizontal="center" vertical="center"/>
    </xf>
    <xf numFmtId="167" fontId="7" fillId="6" borderId="34" xfId="0" applyNumberFormat="1" applyFont="1" applyFill="1" applyBorder="1" applyAlignment="1">
      <alignment horizontal="center" vertical="center"/>
    </xf>
    <xf numFmtId="164" fontId="38" fillId="0" borderId="33" xfId="0" applyFont="1" applyBorder="1" applyAlignment="1">
      <alignment horizontal="center" vertical="center"/>
    </xf>
    <xf numFmtId="164" fontId="7" fillId="7" borderId="70" xfId="0" applyFont="1" applyFill="1" applyBorder="1" applyAlignment="1">
      <alignment horizontal="center" vertical="center"/>
    </xf>
    <xf numFmtId="167" fontId="39" fillId="23" borderId="138" xfId="0" applyNumberFormat="1" applyFont="1" applyFill="1" applyBorder="1" applyAlignment="1">
      <alignment horizontal="center" vertical="center"/>
    </xf>
    <xf numFmtId="167" fontId="39" fillId="7" borderId="138" xfId="0" applyNumberFormat="1" applyFont="1" applyFill="1" applyBorder="1" applyAlignment="1">
      <alignment horizontal="center" vertical="center"/>
    </xf>
    <xf numFmtId="167" fontId="7" fillId="7" borderId="70" xfId="0" applyNumberFormat="1" applyFont="1" applyFill="1" applyBorder="1" applyAlignment="1">
      <alignment horizontal="center" vertical="center"/>
    </xf>
    <xf numFmtId="167" fontId="39" fillId="7" borderId="57" xfId="0" applyNumberFormat="1" applyFont="1" applyFill="1" applyBorder="1" applyAlignment="1">
      <alignment horizontal="center" vertical="center"/>
    </xf>
    <xf numFmtId="177" fontId="39" fillId="7" borderId="57" xfId="0" applyNumberFormat="1" applyFont="1" applyFill="1" applyBorder="1" applyAlignment="1">
      <alignment horizontal="center" vertical="center"/>
    </xf>
    <xf numFmtId="170" fontId="7" fillId="7" borderId="33" xfId="0" applyNumberFormat="1" applyFont="1" applyFill="1" applyBorder="1" applyAlignment="1">
      <alignment horizontal="center" vertical="center"/>
    </xf>
    <xf numFmtId="167" fontId="7" fillId="7" borderId="48" xfId="0" applyNumberFormat="1" applyFont="1" applyFill="1" applyBorder="1" applyAlignment="1">
      <alignment horizontal="center" vertical="center"/>
    </xf>
    <xf numFmtId="164" fontId="7" fillId="7" borderId="91" xfId="0" applyFont="1" applyFill="1" applyBorder="1" applyAlignment="1">
      <alignment horizontal="center" vertical="center"/>
    </xf>
    <xf numFmtId="167" fontId="7" fillId="20" borderId="91" xfId="0" applyNumberFormat="1" applyFont="1" applyFill="1" applyBorder="1" applyAlignment="1">
      <alignment horizontal="center" vertical="center"/>
    </xf>
    <xf numFmtId="167" fontId="32" fillId="38" borderId="34" xfId="0" applyNumberFormat="1" applyFont="1" applyFill="1" applyBorder="1" applyAlignment="1">
      <alignment horizontal="center" vertical="center"/>
    </xf>
    <xf numFmtId="170" fontId="32" fillId="39" borderId="70" xfId="0" applyNumberFormat="1" applyFont="1" applyFill="1" applyBorder="1" applyAlignment="1">
      <alignment horizontal="center"/>
    </xf>
    <xf numFmtId="179" fontId="7" fillId="40" borderId="91" xfId="0" applyNumberFormat="1" applyFont="1" applyFill="1" applyBorder="1" applyAlignment="1">
      <alignment horizontal="center" vertical="center"/>
    </xf>
    <xf numFmtId="179" fontId="7" fillId="20" borderId="91" xfId="0" applyNumberFormat="1" applyFont="1" applyFill="1" applyBorder="1" applyAlignment="1">
      <alignment horizontal="center" vertical="center"/>
    </xf>
    <xf numFmtId="164" fontId="37" fillId="0" borderId="2" xfId="0" applyFont="1" applyBorder="1" applyAlignment="1">
      <alignment horizontal="center" vertical="center" wrapText="1"/>
    </xf>
    <xf numFmtId="164" fontId="38" fillId="0" borderId="51" xfId="0" applyFont="1" applyBorder="1" applyAlignment="1">
      <alignment horizontal="center" vertical="center"/>
    </xf>
    <xf numFmtId="180" fontId="7" fillId="7" borderId="60" xfId="0" applyNumberFormat="1" applyFont="1" applyFill="1" applyBorder="1" applyAlignment="1">
      <alignment horizontal="center" vertical="center"/>
    </xf>
    <xf numFmtId="167" fontId="39" fillId="23" borderId="1" xfId="0" applyNumberFormat="1" applyFont="1" applyFill="1" applyBorder="1" applyAlignment="1">
      <alignment horizontal="center" vertical="center"/>
    </xf>
    <xf numFmtId="167" fontId="39" fillId="7" borderId="1" xfId="0" applyNumberFormat="1" applyFont="1" applyFill="1" applyBorder="1" applyAlignment="1">
      <alignment horizontal="center" vertical="center"/>
    </xf>
    <xf numFmtId="167" fontId="7" fillId="7" borderId="61" xfId="0" applyNumberFormat="1" applyFont="1" applyFill="1" applyBorder="1" applyAlignment="1">
      <alignment horizontal="center" vertical="center"/>
    </xf>
    <xf numFmtId="177" fontId="39" fillId="7" borderId="1" xfId="0" applyNumberFormat="1" applyFont="1" applyFill="1" applyBorder="1" applyAlignment="1">
      <alignment horizontal="center" vertical="center"/>
    </xf>
    <xf numFmtId="164" fontId="7" fillId="7" borderId="139" xfId="0" applyFont="1" applyFill="1" applyBorder="1" applyAlignment="1">
      <alignment horizontal="center" vertical="center"/>
    </xf>
    <xf numFmtId="170" fontId="7" fillId="7" borderId="139" xfId="0" applyNumberFormat="1" applyFont="1" applyFill="1" applyBorder="1" applyAlignment="1">
      <alignment horizontal="center" vertical="center"/>
    </xf>
    <xf numFmtId="167" fontId="7" fillId="7" borderId="140" xfId="0" applyNumberFormat="1" applyFont="1" applyFill="1" applyBorder="1" applyAlignment="1">
      <alignment horizontal="center" vertical="center"/>
    </xf>
    <xf numFmtId="167" fontId="7" fillId="7" borderId="60" xfId="0" applyNumberFormat="1" applyFont="1" applyFill="1" applyBorder="1" applyAlignment="1">
      <alignment horizontal="center" vertical="center"/>
    </xf>
    <xf numFmtId="168" fontId="0" fillId="0" borderId="97" xfId="0" applyNumberFormat="1" applyBorder="1" applyAlignment="1">
      <alignment horizontal="center" vertical="center"/>
    </xf>
    <xf numFmtId="179" fontId="7" fillId="43" borderId="97" xfId="0" applyNumberFormat="1" applyFont="1" applyFill="1" applyBorder="1" applyAlignment="1">
      <alignment horizontal="center" vertical="center"/>
    </xf>
    <xf numFmtId="179" fontId="7" fillId="42" borderId="97" xfId="0" applyNumberFormat="1" applyFont="1" applyFill="1" applyBorder="1" applyAlignment="1">
      <alignment horizontal="center" vertical="center"/>
    </xf>
    <xf numFmtId="164" fontId="37" fillId="0" borderId="40" xfId="0" applyFont="1" applyBorder="1" applyAlignment="1">
      <alignment horizontal="center" vertical="center" wrapText="1"/>
    </xf>
    <xf numFmtId="164" fontId="7" fillId="7" borderId="60" xfId="0" applyFont="1" applyFill="1" applyBorder="1" applyAlignment="1">
      <alignment horizontal="center" vertical="center"/>
    </xf>
    <xf numFmtId="179" fontId="39" fillId="7" borderId="1" xfId="0" applyNumberFormat="1" applyFont="1" applyFill="1" applyBorder="1" applyAlignment="1">
      <alignment horizontal="center" vertical="center"/>
    </xf>
    <xf numFmtId="168" fontId="7" fillId="37" borderId="97" xfId="0" applyNumberFormat="1" applyFont="1" applyFill="1" applyBorder="1" applyAlignment="1">
      <alignment horizontal="center" vertical="center"/>
    </xf>
    <xf numFmtId="179" fontId="7" fillId="40" borderId="97" xfId="0" applyNumberFormat="1" applyFont="1" applyFill="1" applyBorder="1" applyAlignment="1">
      <alignment horizontal="center" vertical="center"/>
    </xf>
    <xf numFmtId="179" fontId="7" fillId="20" borderId="97" xfId="0" applyNumberFormat="1" applyFont="1" applyFill="1" applyBorder="1" applyAlignment="1">
      <alignment horizontal="center" vertical="center"/>
    </xf>
    <xf numFmtId="164" fontId="37" fillId="0" borderId="40" xfId="0" applyFont="1" applyBorder="1" applyAlignment="1">
      <alignment vertical="center" textRotation="90" wrapText="1"/>
    </xf>
    <xf numFmtId="164" fontId="38" fillId="0" borderId="51" xfId="0" applyFont="1" applyBorder="1" applyAlignment="1">
      <alignment vertical="center" textRotation="90" wrapText="1"/>
    </xf>
    <xf numFmtId="164" fontId="32" fillId="38" borderId="60" xfId="0" applyFont="1" applyFill="1" applyBorder="1" applyAlignment="1">
      <alignment horizontal="center" vertical="center" wrapText="1"/>
    </xf>
    <xf numFmtId="164" fontId="41" fillId="41" borderId="1" xfId="0" applyFont="1" applyFill="1" applyBorder="1" applyAlignment="1">
      <alignment horizontal="center" vertical="center"/>
    </xf>
    <xf numFmtId="177" fontId="32" fillId="38" borderId="139" xfId="0" applyNumberFormat="1" applyFont="1" applyFill="1" applyBorder="1" applyAlignment="1">
      <alignment horizontal="center" vertical="center"/>
    </xf>
    <xf numFmtId="181" fontId="42" fillId="38" borderId="59" xfId="0" applyNumberFormat="1" applyFont="1" applyFill="1" applyBorder="1" applyAlignment="1">
      <alignment horizontal="center" vertical="center"/>
    </xf>
    <xf numFmtId="177" fontId="32" fillId="38" borderId="59" xfId="0" applyNumberFormat="1" applyFont="1" applyFill="1" applyBorder="1" applyAlignment="1">
      <alignment horizontal="center" vertical="center"/>
    </xf>
    <xf numFmtId="167" fontId="42" fillId="38" borderId="59" xfId="0" applyNumberFormat="1" applyFont="1" applyFill="1" applyBorder="1" applyAlignment="1">
      <alignment horizontal="center" vertical="center"/>
    </xf>
    <xf numFmtId="164" fontId="32" fillId="38" borderId="59" xfId="0" applyFont="1" applyFill="1" applyBorder="1" applyAlignment="1">
      <alignment horizontal="center" vertical="center"/>
    </xf>
    <xf numFmtId="170" fontId="32" fillId="38" borderId="59" xfId="0" applyNumberFormat="1" applyFont="1" applyFill="1" applyBorder="1" applyAlignment="1">
      <alignment horizontal="center" vertical="center"/>
    </xf>
    <xf numFmtId="167" fontId="42" fillId="38" borderId="140" xfId="0" applyNumberFormat="1" applyFont="1" applyFill="1" applyBorder="1" applyAlignment="1">
      <alignment horizontal="center" vertical="center"/>
    </xf>
    <xf numFmtId="164" fontId="32" fillId="38" borderId="51" xfId="0" applyFont="1" applyFill="1" applyBorder="1" applyAlignment="1">
      <alignment horizontal="center" vertical="center"/>
    </xf>
    <xf numFmtId="167" fontId="42" fillId="38" borderId="60" xfId="0" applyNumberFormat="1" applyFont="1" applyFill="1" applyBorder="1" applyAlignment="1">
      <alignment horizontal="center" vertical="center"/>
    </xf>
    <xf numFmtId="182" fontId="42" fillId="38" borderId="60" xfId="0" applyNumberFormat="1" applyFont="1" applyFill="1" applyBorder="1" applyAlignment="1">
      <alignment horizontal="center" vertical="center"/>
    </xf>
    <xf numFmtId="164" fontId="32" fillId="38" borderId="139" xfId="0" applyFont="1" applyFill="1" applyBorder="1" applyAlignment="1">
      <alignment horizontal="center" vertical="center"/>
    </xf>
    <xf numFmtId="167" fontId="42" fillId="42" borderId="98" xfId="0" applyNumberFormat="1" applyFont="1" applyFill="1" applyBorder="1" applyAlignment="1">
      <alignment horizontal="center" vertical="center"/>
    </xf>
    <xf numFmtId="167" fontId="42" fillId="44" borderId="98" xfId="0" applyNumberFormat="1" applyFont="1" applyFill="1" applyBorder="1" applyAlignment="1">
      <alignment horizontal="center" vertical="center"/>
    </xf>
    <xf numFmtId="167" fontId="43" fillId="6" borderId="24" xfId="0" applyNumberFormat="1" applyFont="1" applyFill="1" applyBorder="1" applyAlignment="1">
      <alignment horizontal="center" vertical="center"/>
    </xf>
    <xf numFmtId="179" fontId="42" fillId="43" borderId="98" xfId="0" applyNumberFormat="1" applyFont="1" applyFill="1" applyBorder="1" applyAlignment="1">
      <alignment horizontal="center" vertical="center"/>
    </xf>
    <xf numFmtId="164" fontId="32" fillId="15" borderId="51" xfId="0" applyFont="1" applyFill="1" applyBorder="1" applyAlignment="1">
      <alignment horizontal="center" vertical="center"/>
    </xf>
    <xf numFmtId="164" fontId="32" fillId="44" borderId="60" xfId="0" applyFont="1" applyFill="1" applyBorder="1" applyAlignment="1">
      <alignment horizontal="center" vertical="center"/>
    </xf>
    <xf numFmtId="179" fontId="42" fillId="42" borderId="98" xfId="0" applyNumberFormat="1" applyFont="1" applyFill="1" applyBorder="1" applyAlignment="1">
      <alignment horizontal="center" vertical="center"/>
    </xf>
    <xf numFmtId="164" fontId="37" fillId="0" borderId="0" xfId="0" applyFont="1" applyBorder="1" applyAlignment="1">
      <alignment vertical="center" textRotation="90" wrapText="1"/>
    </xf>
    <xf numFmtId="164" fontId="6" fillId="0" borderId="0" xfId="0" applyFont="1" applyFill="1" applyBorder="1" applyAlignment="1">
      <alignment horizontal="center" vertical="center"/>
    </xf>
    <xf numFmtId="164" fontId="32" fillId="0" borderId="141" xfId="0" applyFont="1" applyFill="1" applyBorder="1" applyAlignment="1">
      <alignment horizontal="center"/>
    </xf>
    <xf numFmtId="164" fontId="0" fillId="0" borderId="0" xfId="0" applyFont="1" applyAlignment="1">
      <alignment wrapText="1"/>
    </xf>
    <xf numFmtId="164" fontId="9" fillId="0" borderId="0" xfId="0" applyFont="1" applyAlignment="1">
      <alignment/>
    </xf>
    <xf numFmtId="164" fontId="20" fillId="0" borderId="58" xfId="0" applyFont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20" fillId="0" borderId="4" xfId="0" applyFont="1" applyBorder="1" applyAlignment="1">
      <alignment horizontal="center"/>
    </xf>
    <xf numFmtId="164" fontId="32" fillId="9" borderId="86" xfId="0" applyFont="1" applyFill="1" applyBorder="1" applyAlignment="1">
      <alignment horizontal="center" vertical="center"/>
    </xf>
    <xf numFmtId="164" fontId="32" fillId="9" borderId="85" xfId="0" applyFont="1" applyFill="1" applyBorder="1" applyAlignment="1">
      <alignment horizontal="center" vertical="center"/>
    </xf>
    <xf numFmtId="178" fontId="32" fillId="9" borderId="85" xfId="0" applyNumberFormat="1" applyFont="1" applyFill="1" applyBorder="1" applyAlignment="1">
      <alignment horizontal="center" vertical="center"/>
    </xf>
    <xf numFmtId="164" fontId="22" fillId="9" borderId="142" xfId="0" applyFont="1" applyFill="1" applyBorder="1" applyAlignment="1">
      <alignment horizontal="center" vertical="center" wrapText="1"/>
    </xf>
    <xf numFmtId="164" fontId="22" fillId="9" borderId="105" xfId="0" applyFont="1" applyFill="1" applyBorder="1" applyAlignment="1">
      <alignment horizontal="center" vertical="center" wrapText="1"/>
    </xf>
    <xf numFmtId="164" fontId="22" fillId="9" borderId="100" xfId="0" applyFont="1" applyFill="1" applyBorder="1" applyAlignment="1">
      <alignment horizontal="center" vertical="center"/>
    </xf>
    <xf numFmtId="164" fontId="22" fillId="9" borderId="53" xfId="0" applyFont="1" applyFill="1" applyBorder="1" applyAlignment="1">
      <alignment horizontal="center" vertical="center" wrapText="1"/>
    </xf>
    <xf numFmtId="164" fontId="22" fillId="9" borderId="0" xfId="0" applyFont="1" applyFill="1" applyBorder="1" applyAlignment="1">
      <alignment horizontal="center" vertical="center" wrapText="1"/>
    </xf>
    <xf numFmtId="164" fontId="33" fillId="0" borderId="49" xfId="0" applyFont="1" applyBorder="1" applyAlignment="1">
      <alignment horizontal="center" vertical="center" wrapText="1"/>
    </xf>
    <xf numFmtId="167" fontId="34" fillId="6" borderId="109" xfId="0" applyNumberFormat="1" applyFont="1" applyFill="1" applyBorder="1" applyAlignment="1">
      <alignment horizontal="center" vertical="center" wrapText="1"/>
    </xf>
    <xf numFmtId="164" fontId="35" fillId="38" borderId="41" xfId="0" applyFont="1" applyFill="1" applyBorder="1" applyAlignment="1">
      <alignment horizontal="center" vertical="center" wrapText="1"/>
    </xf>
    <xf numFmtId="164" fontId="35" fillId="39" borderId="5" xfId="0" applyFont="1" applyFill="1" applyBorder="1" applyAlignment="1">
      <alignment horizontal="center" vertical="center" wrapText="1"/>
    </xf>
    <xf numFmtId="164" fontId="35" fillId="6" borderId="5" xfId="0" applyFont="1" applyFill="1" applyBorder="1" applyAlignment="1">
      <alignment horizontal="center" vertical="center" wrapText="1"/>
    </xf>
    <xf numFmtId="164" fontId="35" fillId="23" borderId="5" xfId="0" applyFont="1" applyFill="1" applyBorder="1" applyAlignment="1">
      <alignment horizontal="center" vertical="center" wrapText="1"/>
    </xf>
    <xf numFmtId="167" fontId="34" fillId="22" borderId="61" xfId="0" applyNumberFormat="1" applyFont="1" applyFill="1" applyBorder="1" applyAlignment="1">
      <alignment horizontal="center" vertical="center" wrapText="1"/>
    </xf>
    <xf numFmtId="164" fontId="30" fillId="0" borderId="2" xfId="0" applyFont="1" applyBorder="1" applyAlignment="1">
      <alignment horizontal="center" vertical="center" textRotation="90"/>
    </xf>
    <xf numFmtId="164" fontId="44" fillId="0" borderId="30" xfId="0" applyFont="1" applyFill="1" applyBorder="1" applyAlignment="1">
      <alignment horizontal="center" vertical="center" wrapText="1"/>
    </xf>
    <xf numFmtId="164" fontId="7" fillId="0" borderId="19" xfId="0" applyFont="1" applyBorder="1" applyAlignment="1">
      <alignment horizontal="center" vertical="center"/>
    </xf>
    <xf numFmtId="167" fontId="39" fillId="9" borderId="112" xfId="0" applyNumberFormat="1" applyFont="1" applyFill="1" applyBorder="1" applyAlignment="1">
      <alignment horizontal="center" vertical="center"/>
    </xf>
    <xf numFmtId="167" fontId="39" fillId="9" borderId="113" xfId="0" applyNumberFormat="1" applyFont="1" applyFill="1" applyBorder="1" applyAlignment="1">
      <alignment horizontal="center" vertical="center"/>
    </xf>
    <xf numFmtId="167" fontId="7" fillId="7" borderId="113" xfId="0" applyNumberFormat="1" applyFont="1" applyFill="1" applyBorder="1" applyAlignment="1">
      <alignment horizontal="center" vertical="center"/>
    </xf>
    <xf numFmtId="167" fontId="7" fillId="37" borderId="117" xfId="0" applyNumberFormat="1" applyFont="1" applyFill="1" applyBorder="1" applyAlignment="1">
      <alignment horizontal="center" vertical="center"/>
    </xf>
    <xf numFmtId="169" fontId="7" fillId="24" borderId="84" xfId="0" applyNumberFormat="1" applyFont="1" applyFill="1" applyBorder="1" applyAlignment="1">
      <alignment horizontal="center" vertical="center"/>
    </xf>
    <xf numFmtId="167" fontId="7" fillId="6" borderId="87" xfId="0" applyNumberFormat="1" applyFont="1" applyFill="1" applyBorder="1" applyAlignment="1">
      <alignment horizontal="center" vertical="center"/>
    </xf>
    <xf numFmtId="167" fontId="32" fillId="38" borderId="9" xfId="0" applyNumberFormat="1" applyFont="1" applyFill="1" applyBorder="1" applyAlignment="1">
      <alignment horizontal="center" vertical="center"/>
    </xf>
    <xf numFmtId="170" fontId="32" fillId="39" borderId="10" xfId="0" applyNumberFormat="1" applyFont="1" applyFill="1" applyBorder="1" applyAlignment="1">
      <alignment horizontal="center"/>
    </xf>
    <xf numFmtId="170" fontId="7" fillId="22" borderId="10" xfId="0" applyNumberFormat="1" applyFont="1" applyFill="1" applyBorder="1" applyAlignment="1">
      <alignment horizontal="center" vertical="center"/>
    </xf>
    <xf numFmtId="164" fontId="32" fillId="23" borderId="10" xfId="0" applyFont="1" applyFill="1" applyBorder="1" applyAlignment="1">
      <alignment horizontal="center"/>
    </xf>
    <xf numFmtId="170" fontId="32" fillId="6" borderId="10" xfId="0" applyNumberFormat="1" applyFont="1" applyFill="1" applyBorder="1" applyAlignment="1">
      <alignment horizontal="center"/>
    </xf>
    <xf numFmtId="170" fontId="7" fillId="22" borderId="68" xfId="0" applyNumberFormat="1" applyFont="1" applyFill="1" applyBorder="1" applyAlignment="1">
      <alignment horizontal="center" vertical="center"/>
    </xf>
    <xf numFmtId="164" fontId="7" fillId="0" borderId="27" xfId="0" applyFont="1" applyBorder="1" applyAlignment="1">
      <alignment horizontal="center" vertical="center"/>
    </xf>
    <xf numFmtId="167" fontId="39" fillId="9" borderId="69" xfId="0" applyNumberFormat="1" applyFont="1" applyFill="1" applyBorder="1" applyAlignment="1">
      <alignment horizontal="center" vertical="center"/>
    </xf>
    <xf numFmtId="167" fontId="39" fillId="9" borderId="64" xfId="0" applyNumberFormat="1" applyFont="1" applyFill="1" applyBorder="1" applyAlignment="1">
      <alignment horizontal="center" vertical="center"/>
    </xf>
    <xf numFmtId="167" fontId="7" fillId="7" borderId="64" xfId="0" applyNumberFormat="1" applyFont="1" applyFill="1" applyBorder="1" applyAlignment="1">
      <alignment horizontal="center" vertical="center"/>
    </xf>
    <xf numFmtId="167" fontId="7" fillId="37" borderId="39" xfId="0" applyNumberFormat="1" applyFont="1" applyFill="1" applyBorder="1" applyAlignment="1">
      <alignment horizontal="center" vertical="center"/>
    </xf>
    <xf numFmtId="167" fontId="7" fillId="6" borderId="45" xfId="0" applyNumberFormat="1" applyFont="1" applyFill="1" applyBorder="1" applyAlignment="1">
      <alignment horizontal="center" vertical="center"/>
    </xf>
    <xf numFmtId="167" fontId="32" fillId="38" borderId="26" xfId="0" applyNumberFormat="1" applyFont="1" applyFill="1" applyBorder="1" applyAlignment="1">
      <alignment horizontal="center" vertical="center"/>
    </xf>
    <xf numFmtId="170" fontId="32" fillId="39" borderId="27" xfId="0" applyNumberFormat="1" applyFont="1" applyFill="1" applyBorder="1" applyAlignment="1">
      <alignment horizontal="center"/>
    </xf>
    <xf numFmtId="170" fontId="7" fillId="22" borderId="27" xfId="0" applyNumberFormat="1" applyFont="1" applyFill="1" applyBorder="1" applyAlignment="1">
      <alignment horizontal="center" vertical="center"/>
    </xf>
    <xf numFmtId="164" fontId="32" fillId="23" borderId="27" xfId="0" applyFont="1" applyFill="1" applyBorder="1" applyAlignment="1">
      <alignment horizontal="center"/>
    </xf>
    <xf numFmtId="170" fontId="32" fillId="6" borderId="27" xfId="0" applyNumberFormat="1" applyFont="1" applyFill="1" applyBorder="1" applyAlignment="1">
      <alignment horizontal="center"/>
    </xf>
    <xf numFmtId="170" fontId="7" fillId="22" borderId="69" xfId="0" applyNumberFormat="1" applyFont="1" applyFill="1" applyBorder="1" applyAlignment="1">
      <alignment horizontal="center" vertical="center"/>
    </xf>
    <xf numFmtId="164" fontId="7" fillId="7" borderId="96" xfId="0" applyFont="1" applyFill="1" applyBorder="1" applyAlignment="1">
      <alignment horizontal="center" vertical="center"/>
    </xf>
    <xf numFmtId="167" fontId="39" fillId="9" borderId="123" xfId="0" applyNumberFormat="1" applyFont="1" applyFill="1" applyBorder="1" applyAlignment="1">
      <alignment horizontal="center" vertical="center"/>
    </xf>
    <xf numFmtId="167" fontId="39" fillId="9" borderId="124" xfId="0" applyNumberFormat="1" applyFont="1" applyFill="1" applyBorder="1" applyAlignment="1">
      <alignment horizontal="center" vertical="center"/>
    </xf>
    <xf numFmtId="167" fontId="7" fillId="7" borderId="124" xfId="0" applyNumberFormat="1" applyFont="1" applyFill="1" applyBorder="1" applyAlignment="1">
      <alignment horizontal="center" vertical="center"/>
    </xf>
    <xf numFmtId="167" fontId="7" fillId="37" borderId="128" xfId="0" applyNumberFormat="1" applyFont="1" applyFill="1" applyBorder="1" applyAlignment="1">
      <alignment horizontal="center" vertical="center"/>
    </xf>
    <xf numFmtId="167" fontId="7" fillId="6" borderId="92" xfId="0" applyNumberFormat="1" applyFont="1" applyFill="1" applyBorder="1" applyAlignment="1">
      <alignment horizontal="center" vertical="center"/>
    </xf>
    <xf numFmtId="164" fontId="44" fillId="0" borderId="23" xfId="0" applyFont="1" applyFill="1" applyBorder="1" applyAlignment="1">
      <alignment horizontal="center" vertical="center" wrapText="1"/>
    </xf>
    <xf numFmtId="164" fontId="7" fillId="0" borderId="21" xfId="0" applyFont="1" applyBorder="1" applyAlignment="1">
      <alignment horizontal="center" vertical="center"/>
    </xf>
    <xf numFmtId="167" fontId="39" fillId="9" borderId="129" xfId="0" applyNumberFormat="1" applyFont="1" applyFill="1" applyBorder="1" applyAlignment="1">
      <alignment horizontal="center" vertical="center"/>
    </xf>
    <xf numFmtId="167" fontId="39" fillId="9" borderId="130" xfId="0" applyNumberFormat="1" applyFont="1" applyFill="1" applyBorder="1" applyAlignment="1">
      <alignment horizontal="center" vertical="center"/>
    </xf>
    <xf numFmtId="167" fontId="7" fillId="6" borderId="32" xfId="0" applyNumberFormat="1" applyFont="1" applyFill="1" applyBorder="1" applyAlignment="1">
      <alignment horizontal="center" vertical="center"/>
    </xf>
    <xf numFmtId="164" fontId="7" fillId="0" borderId="96" xfId="0" applyFont="1" applyBorder="1" applyAlignment="1">
      <alignment horizontal="center" vertical="center"/>
    </xf>
    <xf numFmtId="167" fontId="7" fillId="7" borderId="143" xfId="0" applyNumberFormat="1" applyFont="1" applyFill="1" applyBorder="1" applyAlignment="1">
      <alignment horizontal="center" vertical="center"/>
    </xf>
    <xf numFmtId="164" fontId="44" fillId="0" borderId="122" xfId="0" applyFont="1" applyFill="1" applyBorder="1" applyAlignment="1">
      <alignment horizontal="center" vertical="center" wrapText="1"/>
    </xf>
    <xf numFmtId="167" fontId="7" fillId="6" borderId="126" xfId="0" applyNumberFormat="1" applyFont="1" applyFill="1" applyBorder="1" applyAlignment="1">
      <alignment horizontal="center" vertical="center"/>
    </xf>
    <xf numFmtId="167" fontId="7" fillId="6" borderId="115" xfId="0" applyNumberFormat="1" applyFont="1" applyFill="1" applyBorder="1" applyAlignment="1">
      <alignment horizontal="center" vertical="center"/>
    </xf>
    <xf numFmtId="164" fontId="44" fillId="0" borderId="49" xfId="0" applyFont="1" applyFill="1" applyBorder="1" applyAlignment="1">
      <alignment horizontal="center" vertical="center" wrapText="1"/>
    </xf>
    <xf numFmtId="167" fontId="7" fillId="6" borderId="25" xfId="0" applyNumberFormat="1" applyFont="1" applyFill="1" applyBorder="1" applyAlignment="1">
      <alignment horizontal="center" vertical="center"/>
    </xf>
    <xf numFmtId="164" fontId="7" fillId="0" borderId="50" xfId="0" applyFont="1" applyBorder="1" applyAlignment="1">
      <alignment horizontal="center" vertical="center"/>
    </xf>
    <xf numFmtId="167" fontId="39" fillId="9" borderId="0" xfId="0" applyNumberFormat="1" applyFont="1" applyFill="1" applyBorder="1" applyAlignment="1">
      <alignment horizontal="center" vertical="center"/>
    </xf>
    <xf numFmtId="167" fontId="7" fillId="7" borderId="0" xfId="0" applyNumberFormat="1" applyFont="1" applyFill="1" applyBorder="1" applyAlignment="1">
      <alignment horizontal="center" vertical="center"/>
    </xf>
    <xf numFmtId="164" fontId="7" fillId="0" borderId="47" xfId="0" applyFont="1" applyBorder="1" applyAlignment="1">
      <alignment horizontal="center" vertical="center"/>
    </xf>
    <xf numFmtId="167" fontId="39" fillId="9" borderId="120" xfId="0" applyNumberFormat="1" applyFont="1" applyFill="1" applyBorder="1" applyAlignment="1">
      <alignment horizontal="center" vertical="center"/>
    </xf>
    <xf numFmtId="167" fontId="39" fillId="9" borderId="65" xfId="0" applyNumberFormat="1" applyFont="1" applyFill="1" applyBorder="1" applyAlignment="1">
      <alignment horizontal="center" vertical="center"/>
    </xf>
    <xf numFmtId="167" fontId="7" fillId="20" borderId="106" xfId="0" applyNumberFormat="1" applyFont="1" applyFill="1" applyBorder="1" applyAlignment="1">
      <alignment horizontal="center" vertical="center"/>
    </xf>
    <xf numFmtId="167" fontId="7" fillId="22" borderId="66" xfId="0" applyNumberFormat="1" applyFont="1" applyFill="1" applyBorder="1" applyAlignment="1">
      <alignment horizontal="center" vertical="center"/>
    </xf>
    <xf numFmtId="167" fontId="7" fillId="6" borderId="109" xfId="0" applyNumberFormat="1" applyFont="1" applyFill="1" applyBorder="1" applyAlignment="1">
      <alignment horizontal="center" vertical="center"/>
    </xf>
    <xf numFmtId="167" fontId="39" fillId="9" borderId="116" xfId="0" applyNumberFormat="1" applyFont="1" applyFill="1" applyBorder="1" applyAlignment="1">
      <alignment horizontal="center" vertical="center"/>
    </xf>
    <xf numFmtId="170" fontId="7" fillId="22" borderId="69" xfId="0" applyNumberFormat="1" applyFont="1" applyFill="1" applyBorder="1" applyAlignment="1">
      <alignment horizontal="center" vertical="center" wrapText="1"/>
    </xf>
    <xf numFmtId="164" fontId="7" fillId="0" borderId="126" xfId="0" applyFont="1" applyBorder="1" applyAlignment="1">
      <alignment horizontal="center" vertical="center"/>
    </xf>
    <xf numFmtId="170" fontId="32" fillId="39" borderId="47" xfId="0" applyNumberFormat="1" applyFont="1" applyFill="1" applyBorder="1" applyAlignment="1">
      <alignment horizontal="center"/>
    </xf>
    <xf numFmtId="170" fontId="7" fillId="22" borderId="47" xfId="0" applyNumberFormat="1" applyFont="1" applyFill="1" applyBorder="1" applyAlignment="1">
      <alignment horizontal="center" vertical="center"/>
    </xf>
    <xf numFmtId="164" fontId="32" fillId="23" borderId="47" xfId="0" applyFont="1" applyFill="1" applyBorder="1" applyAlignment="1">
      <alignment horizontal="center"/>
    </xf>
    <xf numFmtId="170" fontId="32" fillId="6" borderId="47" xfId="0" applyNumberFormat="1" applyFont="1" applyFill="1" applyBorder="1" applyAlignment="1">
      <alignment horizontal="center"/>
    </xf>
    <xf numFmtId="170" fontId="7" fillId="22" borderId="120" xfId="0" applyNumberFormat="1" applyFont="1" applyFill="1" applyBorder="1" applyAlignment="1">
      <alignment horizontal="center" vertical="center"/>
    </xf>
    <xf numFmtId="164" fontId="44" fillId="0" borderId="108" xfId="0" applyFont="1" applyFill="1" applyBorder="1" applyAlignment="1">
      <alignment horizontal="center" vertical="center" wrapText="1"/>
    </xf>
    <xf numFmtId="164" fontId="7" fillId="0" borderId="115" xfId="0" applyFont="1" applyBorder="1" applyAlignment="1">
      <alignment horizontal="center" vertical="center"/>
    </xf>
    <xf numFmtId="169" fontId="7" fillId="24" borderId="66" xfId="0" applyNumberFormat="1" applyFont="1" applyFill="1" applyBorder="1" applyAlignment="1">
      <alignment horizontal="center" vertical="center"/>
    </xf>
    <xf numFmtId="170" fontId="32" fillId="39" borderId="19" xfId="0" applyNumberFormat="1" applyFont="1" applyFill="1" applyBorder="1" applyAlignment="1">
      <alignment horizontal="center"/>
    </xf>
    <xf numFmtId="170" fontId="7" fillId="22" borderId="19" xfId="0" applyNumberFormat="1" applyFont="1" applyFill="1" applyBorder="1" applyAlignment="1">
      <alignment horizontal="center" vertical="center"/>
    </xf>
    <xf numFmtId="164" fontId="32" fillId="23" borderId="19" xfId="0" applyFont="1" applyFill="1" applyBorder="1" applyAlignment="1">
      <alignment horizontal="center"/>
    </xf>
    <xf numFmtId="170" fontId="32" fillId="6" borderId="19" xfId="0" applyNumberFormat="1" applyFont="1" applyFill="1" applyBorder="1" applyAlignment="1">
      <alignment horizontal="center"/>
    </xf>
    <xf numFmtId="170" fontId="7" fillId="22" borderId="112" xfId="0" applyNumberFormat="1" applyFont="1" applyFill="1" applyBorder="1" applyAlignment="1">
      <alignment horizontal="center" vertical="center" wrapText="1"/>
    </xf>
    <xf numFmtId="164" fontId="7" fillId="0" borderId="45" xfId="0" applyFont="1" applyBorder="1" applyAlignment="1">
      <alignment horizontal="center" vertical="center"/>
    </xf>
    <xf numFmtId="169" fontId="7" fillId="24" borderId="50" xfId="0" applyNumberFormat="1" applyFont="1" applyFill="1" applyBorder="1" applyAlignment="1">
      <alignment horizontal="center" vertical="center"/>
    </xf>
    <xf numFmtId="167" fontId="7" fillId="6" borderId="46" xfId="0" applyNumberFormat="1" applyFont="1" applyFill="1" applyBorder="1" applyAlignment="1">
      <alignment horizontal="center" vertical="center"/>
    </xf>
    <xf numFmtId="164" fontId="7" fillId="0" borderId="46" xfId="0" applyFont="1" applyBorder="1" applyAlignment="1">
      <alignment horizontal="center" vertical="center"/>
    </xf>
    <xf numFmtId="169" fontId="7" fillId="37" borderId="47" xfId="0" applyNumberFormat="1" applyFont="1" applyFill="1" applyBorder="1" applyAlignment="1">
      <alignment horizontal="center" vertical="center"/>
    </xf>
    <xf numFmtId="167" fontId="32" fillId="38" borderId="119" xfId="0" applyNumberFormat="1" applyFont="1" applyFill="1" applyBorder="1" applyAlignment="1">
      <alignment horizontal="center" vertical="center"/>
    </xf>
    <xf numFmtId="164" fontId="44" fillId="0" borderId="41" xfId="0" applyFont="1" applyFill="1" applyBorder="1" applyAlignment="1">
      <alignment horizontal="center" vertical="center" wrapText="1"/>
    </xf>
    <xf numFmtId="164" fontId="7" fillId="0" borderId="87" xfId="0" applyFont="1" applyBorder="1" applyAlignment="1">
      <alignment horizontal="center" vertical="center"/>
    </xf>
    <xf numFmtId="167" fontId="39" fillId="9" borderId="53" xfId="0" applyNumberFormat="1" applyFont="1" applyFill="1" applyBorder="1" applyAlignment="1">
      <alignment horizontal="center" vertical="center"/>
    </xf>
    <xf numFmtId="167" fontId="39" fillId="9" borderId="4" xfId="0" applyNumberFormat="1" applyFont="1" applyFill="1" applyBorder="1" applyAlignment="1">
      <alignment horizontal="center" vertical="center"/>
    </xf>
    <xf numFmtId="164" fontId="7" fillId="7" borderId="135" xfId="0" applyFont="1" applyFill="1" applyBorder="1" applyAlignment="1">
      <alignment horizontal="center" vertical="center"/>
    </xf>
    <xf numFmtId="167" fontId="7" fillId="7" borderId="87" xfId="0" applyNumberFormat="1" applyFont="1" applyFill="1" applyBorder="1" applyAlignment="1">
      <alignment horizontal="center" vertical="center"/>
    </xf>
    <xf numFmtId="164" fontId="7" fillId="7" borderId="105" xfId="0" applyFont="1" applyFill="1" applyBorder="1" applyAlignment="1">
      <alignment horizontal="center" vertical="center"/>
    </xf>
    <xf numFmtId="167" fontId="7" fillId="7" borderId="53" xfId="0" applyNumberFormat="1" applyFont="1" applyFill="1" applyBorder="1" applyAlignment="1">
      <alignment horizontal="center" vertical="center"/>
    </xf>
    <xf numFmtId="170" fontId="7" fillId="7" borderId="105" xfId="0" applyNumberFormat="1" applyFont="1" applyFill="1" applyBorder="1" applyAlignment="1">
      <alignment horizontal="center" vertical="center"/>
    </xf>
    <xf numFmtId="167" fontId="7" fillId="20" borderId="135" xfId="0" applyNumberFormat="1" applyFont="1" applyFill="1" applyBorder="1" applyAlignment="1">
      <alignment horizontal="center" vertical="center"/>
    </xf>
    <xf numFmtId="169" fontId="7" fillId="37" borderId="100" xfId="0" applyNumberFormat="1" applyFont="1" applyFill="1" applyBorder="1" applyAlignment="1">
      <alignment horizontal="center" vertical="center"/>
    </xf>
    <xf numFmtId="170" fontId="32" fillId="39" borderId="17" xfId="0" applyNumberFormat="1" applyFont="1" applyFill="1" applyBorder="1" applyAlignment="1">
      <alignment horizontal="center"/>
    </xf>
    <xf numFmtId="170" fontId="7" fillId="22" borderId="17" xfId="0" applyNumberFormat="1" applyFont="1" applyFill="1" applyBorder="1" applyAlignment="1">
      <alignment horizontal="center" vertical="center"/>
    </xf>
    <xf numFmtId="164" fontId="32" fillId="23" borderId="100" xfId="0" applyFont="1" applyFill="1" applyBorder="1" applyAlignment="1">
      <alignment horizontal="center"/>
    </xf>
    <xf numFmtId="170" fontId="32" fillId="6" borderId="17" xfId="0" applyNumberFormat="1" applyFont="1" applyFill="1" applyBorder="1" applyAlignment="1">
      <alignment horizontal="center"/>
    </xf>
    <xf numFmtId="170" fontId="7" fillId="22" borderId="53" xfId="0" applyNumberFormat="1" applyFont="1" applyFill="1" applyBorder="1" applyAlignment="1">
      <alignment horizontal="center" vertical="center"/>
    </xf>
    <xf numFmtId="164" fontId="7" fillId="0" borderId="48" xfId="0" applyFont="1" applyBorder="1" applyAlignment="1">
      <alignment horizontal="center" vertical="center"/>
    </xf>
    <xf numFmtId="167" fontId="39" fillId="9" borderId="70" xfId="0" applyNumberFormat="1" applyFont="1" applyFill="1" applyBorder="1" applyAlignment="1">
      <alignment horizontal="center" vertical="center"/>
    </xf>
    <xf numFmtId="167" fontId="39" fillId="9" borderId="138" xfId="0" applyNumberFormat="1" applyFont="1" applyFill="1" applyBorder="1" applyAlignment="1">
      <alignment horizontal="center" vertical="center"/>
    </xf>
    <xf numFmtId="167" fontId="7" fillId="37" borderId="91" xfId="0" applyNumberFormat="1" applyFont="1" applyFill="1" applyBorder="1" applyAlignment="1">
      <alignment horizontal="center" vertical="center"/>
    </xf>
    <xf numFmtId="169" fontId="7" fillId="37" borderId="59" xfId="0" applyNumberFormat="1" applyFont="1" applyFill="1" applyBorder="1" applyAlignment="1">
      <alignment horizontal="center" vertical="center"/>
    </xf>
    <xf numFmtId="167" fontId="7" fillId="22" borderId="34" xfId="0" applyNumberFormat="1" applyFont="1" applyFill="1" applyBorder="1" applyAlignment="1">
      <alignment horizontal="center" vertical="center"/>
    </xf>
    <xf numFmtId="167" fontId="7" fillId="6" borderId="48" xfId="0" applyNumberFormat="1" applyFont="1" applyFill="1" applyBorder="1" applyAlignment="1">
      <alignment horizontal="center" vertical="center"/>
    </xf>
    <xf numFmtId="167" fontId="32" fillId="38" borderId="33" xfId="0" applyNumberFormat="1" applyFont="1" applyFill="1" applyBorder="1" applyAlignment="1">
      <alignment horizontal="center" vertical="center"/>
    </xf>
    <xf numFmtId="170" fontId="32" fillId="39" borderId="34" xfId="0" applyNumberFormat="1" applyFont="1" applyFill="1" applyBorder="1" applyAlignment="1">
      <alignment horizontal="center"/>
    </xf>
    <xf numFmtId="170" fontId="7" fillId="22" borderId="34" xfId="0" applyNumberFormat="1" applyFont="1" applyFill="1" applyBorder="1" applyAlignment="1">
      <alignment horizontal="center" vertical="center"/>
    </xf>
    <xf numFmtId="164" fontId="32" fillId="23" borderId="59" xfId="0" applyFont="1" applyFill="1" applyBorder="1" applyAlignment="1">
      <alignment horizontal="center"/>
    </xf>
    <xf numFmtId="170" fontId="32" fillId="6" borderId="34" xfId="0" applyNumberFormat="1" applyFont="1" applyFill="1" applyBorder="1" applyAlignment="1">
      <alignment horizontal="center"/>
    </xf>
    <xf numFmtId="170" fontId="7" fillId="22" borderId="60" xfId="0" applyNumberFormat="1" applyFont="1" applyFill="1" applyBorder="1" applyAlignment="1">
      <alignment horizontal="center" vertical="center"/>
    </xf>
    <xf numFmtId="164" fontId="44" fillId="0" borderId="144" xfId="0" applyFont="1" applyFill="1" applyBorder="1" applyAlignment="1">
      <alignment horizontal="center" vertical="center" wrapText="1"/>
    </xf>
    <xf numFmtId="164" fontId="7" fillId="0" borderId="145" xfId="0" applyFont="1" applyBorder="1" applyAlignment="1">
      <alignment horizontal="center" vertical="center"/>
    </xf>
    <xf numFmtId="167" fontId="39" fillId="9" borderId="145" xfId="0" applyNumberFormat="1" applyFont="1" applyFill="1" applyBorder="1" applyAlignment="1">
      <alignment horizontal="center" vertical="center"/>
    </xf>
    <xf numFmtId="164" fontId="7" fillId="7" borderId="145" xfId="0" applyFont="1" applyFill="1" applyBorder="1" applyAlignment="1">
      <alignment horizontal="center" vertical="center"/>
    </xf>
    <xf numFmtId="167" fontId="7" fillId="7" borderId="145" xfId="0" applyNumberFormat="1" applyFont="1" applyFill="1" applyBorder="1" applyAlignment="1">
      <alignment horizontal="center" vertical="center"/>
    </xf>
    <xf numFmtId="170" fontId="7" fillId="7" borderId="145" xfId="0" applyNumberFormat="1" applyFont="1" applyFill="1" applyBorder="1" applyAlignment="1">
      <alignment horizontal="center" vertical="center"/>
    </xf>
    <xf numFmtId="167" fontId="7" fillId="20" borderId="145" xfId="0" applyNumberFormat="1" applyFont="1" applyFill="1" applyBorder="1" applyAlignment="1">
      <alignment horizontal="center" vertical="center"/>
    </xf>
    <xf numFmtId="167" fontId="7" fillId="37" borderId="145" xfId="0" applyNumberFormat="1" applyFont="1" applyFill="1" applyBorder="1" applyAlignment="1">
      <alignment horizontal="center" vertical="center"/>
    </xf>
    <xf numFmtId="169" fontId="7" fillId="37" borderId="145" xfId="0" applyNumberFormat="1" applyFont="1" applyFill="1" applyBorder="1" applyAlignment="1">
      <alignment horizontal="center" vertical="center"/>
    </xf>
    <xf numFmtId="167" fontId="7" fillId="22" borderId="145" xfId="0" applyNumberFormat="1" applyFont="1" applyFill="1" applyBorder="1" applyAlignment="1">
      <alignment horizontal="center" vertical="center"/>
    </xf>
    <xf numFmtId="167" fontId="7" fillId="6" borderId="145" xfId="0" applyNumberFormat="1" applyFont="1" applyFill="1" applyBorder="1" applyAlignment="1">
      <alignment horizontal="center" vertical="center"/>
    </xf>
    <xf numFmtId="167" fontId="32" fillId="38" borderId="145" xfId="0" applyNumberFormat="1" applyFont="1" applyFill="1" applyBorder="1" applyAlignment="1">
      <alignment horizontal="center" vertical="center"/>
    </xf>
    <xf numFmtId="170" fontId="7" fillId="22" borderId="145" xfId="0" applyNumberFormat="1" applyFont="1" applyFill="1" applyBorder="1" applyAlignment="1">
      <alignment horizontal="center" vertical="center"/>
    </xf>
    <xf numFmtId="164" fontId="32" fillId="23" borderId="145" xfId="0" applyFont="1" applyFill="1" applyBorder="1" applyAlignment="1">
      <alignment horizontal="center"/>
    </xf>
    <xf numFmtId="170" fontId="32" fillId="6" borderId="145" xfId="0" applyNumberFormat="1" applyFont="1" applyFill="1" applyBorder="1" applyAlignment="1">
      <alignment horizontal="center"/>
    </xf>
    <xf numFmtId="170" fontId="7" fillId="22" borderId="146" xfId="0" applyNumberFormat="1" applyFont="1" applyFill="1" applyBorder="1" applyAlignment="1">
      <alignment horizontal="center" vertical="center"/>
    </xf>
    <xf numFmtId="164" fontId="7" fillId="0" borderId="147" xfId="0" applyFont="1" applyBorder="1" applyAlignment="1">
      <alignment horizontal="center" vertical="center"/>
    </xf>
    <xf numFmtId="167" fontId="39" fillId="9" borderId="147" xfId="0" applyNumberFormat="1" applyFont="1" applyFill="1" applyBorder="1" applyAlignment="1">
      <alignment horizontal="center" vertical="center"/>
    </xf>
    <xf numFmtId="164" fontId="7" fillId="7" borderId="147" xfId="0" applyFont="1" applyFill="1" applyBorder="1" applyAlignment="1">
      <alignment horizontal="center" vertical="center"/>
    </xf>
    <xf numFmtId="167" fontId="7" fillId="7" borderId="147" xfId="0" applyNumberFormat="1" applyFont="1" applyFill="1" applyBorder="1" applyAlignment="1">
      <alignment horizontal="center" vertical="center"/>
    </xf>
    <xf numFmtId="170" fontId="7" fillId="7" borderId="147" xfId="0" applyNumberFormat="1" applyFont="1" applyFill="1" applyBorder="1" applyAlignment="1">
      <alignment horizontal="center" vertical="center"/>
    </xf>
    <xf numFmtId="167" fontId="7" fillId="20" borderId="147" xfId="0" applyNumberFormat="1" applyFont="1" applyFill="1" applyBorder="1" applyAlignment="1">
      <alignment horizontal="center" vertical="center"/>
    </xf>
    <xf numFmtId="167" fontId="7" fillId="37" borderId="147" xfId="0" applyNumberFormat="1" applyFont="1" applyFill="1" applyBorder="1" applyAlignment="1">
      <alignment horizontal="center" vertical="center"/>
    </xf>
    <xf numFmtId="169" fontId="7" fillId="37" borderId="147" xfId="0" applyNumberFormat="1" applyFont="1" applyFill="1" applyBorder="1" applyAlignment="1">
      <alignment horizontal="center" vertical="center"/>
    </xf>
    <xf numFmtId="167" fontId="7" fillId="22" borderId="147" xfId="0" applyNumberFormat="1" applyFont="1" applyFill="1" applyBorder="1" applyAlignment="1">
      <alignment horizontal="center" vertical="center"/>
    </xf>
    <xf numFmtId="167" fontId="7" fillId="6" borderId="147" xfId="0" applyNumberFormat="1" applyFont="1" applyFill="1" applyBorder="1" applyAlignment="1">
      <alignment horizontal="center" vertical="center"/>
    </xf>
    <xf numFmtId="167" fontId="32" fillId="38" borderId="147" xfId="0" applyNumberFormat="1" applyFont="1" applyFill="1" applyBorder="1" applyAlignment="1">
      <alignment horizontal="center" vertical="center"/>
    </xf>
    <xf numFmtId="170" fontId="7" fillId="22" borderId="147" xfId="0" applyNumberFormat="1" applyFont="1" applyFill="1" applyBorder="1" applyAlignment="1">
      <alignment horizontal="center" vertical="center"/>
    </xf>
    <xf numFmtId="164" fontId="32" fillId="23" borderId="147" xfId="0" applyFont="1" applyFill="1" applyBorder="1" applyAlignment="1">
      <alignment horizontal="center"/>
    </xf>
    <xf numFmtId="170" fontId="32" fillId="6" borderId="147" xfId="0" applyNumberFormat="1" applyFont="1" applyFill="1" applyBorder="1" applyAlignment="1">
      <alignment horizontal="center"/>
    </xf>
    <xf numFmtId="170" fontId="7" fillId="22" borderId="148" xfId="0" applyNumberFormat="1" applyFont="1" applyFill="1" applyBorder="1" applyAlignment="1">
      <alignment horizontal="center" vertical="center"/>
    </xf>
    <xf numFmtId="164" fontId="44" fillId="0" borderId="23" xfId="0" applyFont="1" applyBorder="1" applyAlignment="1">
      <alignment horizontal="center" vertical="center" wrapText="1"/>
    </xf>
    <xf numFmtId="164" fontId="7" fillId="0" borderId="63" xfId="0" applyFont="1" applyBorder="1" applyAlignment="1">
      <alignment horizontal="center" vertical="center"/>
    </xf>
    <xf numFmtId="169" fontId="7" fillId="37" borderId="24" xfId="0" applyNumberFormat="1" applyFont="1" applyFill="1" applyBorder="1" applyAlignment="1">
      <alignment horizontal="center" vertical="center"/>
    </xf>
    <xf numFmtId="167" fontId="7" fillId="22" borderId="21" xfId="0" applyNumberFormat="1" applyFont="1" applyFill="1" applyBorder="1" applyAlignment="1">
      <alignment horizontal="center" vertical="center"/>
    </xf>
    <xf numFmtId="167" fontId="7" fillId="6" borderId="63" xfId="0" applyNumberFormat="1" applyFont="1" applyFill="1" applyBorder="1" applyAlignment="1">
      <alignment horizontal="center" vertical="center"/>
    </xf>
    <xf numFmtId="167" fontId="32" fillId="38" borderId="20" xfId="0" applyNumberFormat="1" applyFont="1" applyFill="1" applyBorder="1" applyAlignment="1">
      <alignment horizontal="center" vertical="center"/>
    </xf>
    <xf numFmtId="170" fontId="32" fillId="39" borderId="21" xfId="0" applyNumberFormat="1" applyFont="1" applyFill="1" applyBorder="1" applyAlignment="1">
      <alignment horizontal="center"/>
    </xf>
    <xf numFmtId="170" fontId="7" fillId="22" borderId="21" xfId="0" applyNumberFormat="1" applyFont="1" applyFill="1" applyBorder="1" applyAlignment="1">
      <alignment horizontal="center" vertical="center"/>
    </xf>
    <xf numFmtId="164" fontId="32" fillId="23" borderId="21" xfId="0" applyFont="1" applyFill="1" applyBorder="1" applyAlignment="1">
      <alignment horizontal="center"/>
    </xf>
    <xf numFmtId="170" fontId="32" fillId="6" borderId="21" xfId="0" applyNumberFormat="1" applyFont="1" applyFill="1" applyBorder="1" applyAlignment="1">
      <alignment horizontal="center"/>
    </xf>
    <xf numFmtId="170" fontId="7" fillId="22" borderId="129" xfId="0" applyNumberFormat="1" applyFont="1" applyFill="1" applyBorder="1" applyAlignment="1">
      <alignment horizontal="center" vertical="center"/>
    </xf>
    <xf numFmtId="164" fontId="7" fillId="41" borderId="118" xfId="0" applyFont="1" applyFill="1" applyBorder="1" applyAlignment="1">
      <alignment horizontal="center" vertical="center"/>
    </xf>
    <xf numFmtId="167" fontId="7" fillId="41" borderId="45" xfId="0" applyNumberFormat="1" applyFont="1" applyFill="1" applyBorder="1" applyAlignment="1">
      <alignment horizontal="center" vertical="center"/>
    </xf>
    <xf numFmtId="164" fontId="7" fillId="41" borderId="26" xfId="0" applyFont="1" applyFill="1" applyBorder="1" applyAlignment="1">
      <alignment horizontal="center" vertical="center"/>
    </xf>
    <xf numFmtId="167" fontId="7" fillId="41" borderId="69" xfId="0" applyNumberFormat="1" applyFont="1" applyFill="1" applyBorder="1" applyAlignment="1">
      <alignment horizontal="center" vertical="center"/>
    </xf>
    <xf numFmtId="164" fontId="44" fillId="0" borderId="30" xfId="0" applyFont="1" applyBorder="1" applyAlignment="1">
      <alignment horizontal="center" vertical="center" wrapText="1"/>
    </xf>
    <xf numFmtId="164" fontId="7" fillId="0" borderId="32" xfId="0" applyFont="1" applyBorder="1" applyAlignment="1">
      <alignment horizontal="center" vertical="center"/>
    </xf>
    <xf numFmtId="167" fontId="39" fillId="9" borderId="89" xfId="0" applyNumberFormat="1" applyFont="1" applyFill="1" applyBorder="1" applyAlignment="1">
      <alignment horizontal="center" vertical="center"/>
    </xf>
    <xf numFmtId="167" fontId="39" fillId="9" borderId="99" xfId="0" applyNumberFormat="1" applyFont="1" applyFill="1" applyBorder="1" applyAlignment="1">
      <alignment horizontal="center" vertical="center"/>
    </xf>
    <xf numFmtId="164" fontId="44" fillId="0" borderId="49" xfId="0" applyFont="1" applyBorder="1" applyAlignment="1">
      <alignment horizontal="center" vertical="center" wrapText="1"/>
    </xf>
    <xf numFmtId="164" fontId="7" fillId="0" borderId="92" xfId="0" applyFont="1" applyBorder="1" applyAlignment="1">
      <alignment horizontal="center" vertical="center"/>
    </xf>
    <xf numFmtId="167" fontId="39" fillId="9" borderId="110" xfId="0" applyNumberFormat="1" applyFont="1" applyFill="1" applyBorder="1" applyAlignment="1">
      <alignment horizontal="center" vertical="center"/>
    </xf>
    <xf numFmtId="164" fontId="44" fillId="0" borderId="108" xfId="0" applyFont="1" applyBorder="1" applyAlignment="1">
      <alignment horizontal="center" vertical="center" wrapText="1"/>
    </xf>
    <xf numFmtId="164" fontId="7" fillId="0" borderId="109" xfId="0" applyFont="1" applyBorder="1" applyAlignment="1">
      <alignment horizontal="center" vertical="center"/>
    </xf>
    <xf numFmtId="167" fontId="39" fillId="9" borderId="107" xfId="0" applyNumberFormat="1" applyFont="1" applyFill="1" applyBorder="1" applyAlignment="1">
      <alignment horizontal="center" vertical="center"/>
    </xf>
    <xf numFmtId="167" fontId="39" fillId="9" borderId="141" xfId="0" applyNumberFormat="1" applyFont="1" applyFill="1" applyBorder="1" applyAlignment="1">
      <alignment horizontal="center" vertical="center"/>
    </xf>
    <xf numFmtId="164" fontId="7" fillId="7" borderId="106" xfId="0" applyFont="1" applyFill="1" applyBorder="1" applyAlignment="1">
      <alignment horizontal="center" vertical="center"/>
    </xf>
    <xf numFmtId="167" fontId="7" fillId="7" borderId="109" xfId="0" applyNumberFormat="1" applyFont="1" applyFill="1" applyBorder="1" applyAlignment="1">
      <alignment horizontal="center" vertical="center"/>
    </xf>
    <xf numFmtId="164" fontId="7" fillId="7" borderId="108" xfId="0" applyFont="1" applyFill="1" applyBorder="1" applyAlignment="1">
      <alignment horizontal="center" vertical="center"/>
    </xf>
    <xf numFmtId="167" fontId="7" fillId="7" borderId="107" xfId="0" applyNumberFormat="1" applyFont="1" applyFill="1" applyBorder="1" applyAlignment="1">
      <alignment horizontal="center" vertical="center"/>
    </xf>
    <xf numFmtId="170" fontId="7" fillId="7" borderId="108" xfId="0" applyNumberFormat="1" applyFont="1" applyFill="1" applyBorder="1" applyAlignment="1">
      <alignment horizontal="center" vertical="center"/>
    </xf>
    <xf numFmtId="164" fontId="30" fillId="0" borderId="8" xfId="0" applyFont="1" applyBorder="1" applyAlignment="1">
      <alignment horizontal="center" vertical="center" textRotation="90" wrapText="1"/>
    </xf>
    <xf numFmtId="169" fontId="7" fillId="37" borderId="106" xfId="0" applyNumberFormat="1" applyFont="1" applyFill="1" applyBorder="1" applyAlignment="1">
      <alignment horizontal="center" vertical="center"/>
    </xf>
    <xf numFmtId="164" fontId="7" fillId="0" borderId="96" xfId="0" applyFont="1" applyBorder="1" applyAlignment="1">
      <alignment horizontal="center" vertical="center" wrapText="1"/>
    </xf>
    <xf numFmtId="167" fontId="7" fillId="7" borderId="99" xfId="0" applyNumberFormat="1" applyFont="1" applyFill="1" applyBorder="1" applyAlignment="1">
      <alignment horizontal="center" vertical="center"/>
    </xf>
    <xf numFmtId="167" fontId="7" fillId="37" borderId="136" xfId="0" applyNumberFormat="1" applyFont="1" applyFill="1" applyBorder="1" applyAlignment="1">
      <alignment horizontal="center" vertical="center"/>
    </xf>
    <xf numFmtId="164" fontId="44" fillId="0" borderId="30" xfId="0" applyFont="1" applyFill="1" applyBorder="1" applyAlignment="1">
      <alignment horizontal="center" vertical="center"/>
    </xf>
    <xf numFmtId="164" fontId="27" fillId="7" borderId="19" xfId="0" applyFont="1" applyFill="1" applyBorder="1" applyAlignment="1">
      <alignment horizontal="center" vertical="center" wrapText="1"/>
    </xf>
    <xf numFmtId="164" fontId="27" fillId="7" borderId="21" xfId="0" applyFont="1" applyFill="1" applyBorder="1" applyAlignment="1">
      <alignment horizontal="center" vertical="center" wrapText="1"/>
    </xf>
    <xf numFmtId="167" fontId="7" fillId="37" borderId="12" xfId="0" applyNumberFormat="1" applyFont="1" applyFill="1" applyBorder="1" applyAlignment="1">
      <alignment horizontal="center" vertical="center"/>
    </xf>
    <xf numFmtId="164" fontId="27" fillId="7" borderId="27" xfId="0" applyFont="1" applyFill="1" applyBorder="1" applyAlignment="1">
      <alignment horizontal="center" vertical="center" wrapText="1"/>
    </xf>
    <xf numFmtId="164" fontId="27" fillId="7" borderId="45" xfId="0" applyFont="1" applyFill="1" applyBorder="1" applyAlignment="1">
      <alignment horizontal="center" vertical="center" wrapText="1"/>
    </xf>
    <xf numFmtId="164" fontId="7" fillId="0" borderId="27" xfId="0" applyFont="1" applyBorder="1" applyAlignment="1">
      <alignment horizontal="center" vertical="center" wrapText="1"/>
    </xf>
    <xf numFmtId="164" fontId="27" fillId="7" borderId="96" xfId="0" applyFont="1" applyFill="1" applyBorder="1" applyAlignment="1">
      <alignment horizontal="center" vertical="center" wrapText="1"/>
    </xf>
    <xf numFmtId="164" fontId="44" fillId="0" borderId="30" xfId="0" applyFont="1" applyBorder="1" applyAlignment="1">
      <alignment horizontal="center" vertical="center"/>
    </xf>
    <xf numFmtId="164" fontId="27" fillId="7" borderId="115" xfId="0" applyFont="1" applyFill="1" applyBorder="1" applyAlignment="1">
      <alignment horizontal="center" vertical="center" wrapText="1"/>
    </xf>
    <xf numFmtId="167" fontId="7" fillId="7" borderId="117" xfId="0" applyNumberFormat="1" applyFont="1" applyFill="1" applyBorder="1" applyAlignment="1">
      <alignment horizontal="center" vertical="center"/>
    </xf>
    <xf numFmtId="164" fontId="27" fillId="7" borderId="63" xfId="0" applyFont="1" applyFill="1" applyBorder="1" applyAlignment="1">
      <alignment horizontal="center" vertical="center" wrapText="1"/>
    </xf>
    <xf numFmtId="167" fontId="7" fillId="7" borderId="12" xfId="0" applyNumberFormat="1" applyFont="1" applyFill="1" applyBorder="1" applyAlignment="1">
      <alignment horizontal="center" vertical="center"/>
    </xf>
    <xf numFmtId="167" fontId="7" fillId="7" borderId="39" xfId="0" applyNumberFormat="1" applyFont="1" applyFill="1" applyBorder="1" applyAlignment="1">
      <alignment horizontal="center" vertical="center"/>
    </xf>
    <xf numFmtId="164" fontId="27" fillId="7" borderId="126" xfId="0" applyFont="1" applyFill="1" applyBorder="1" applyAlignment="1">
      <alignment horizontal="center" vertical="center" wrapText="1"/>
    </xf>
    <xf numFmtId="167" fontId="7" fillId="7" borderId="128" xfId="0" applyNumberFormat="1" applyFont="1" applyFill="1" applyBorder="1" applyAlignment="1">
      <alignment horizontal="center" vertical="center"/>
    </xf>
    <xf numFmtId="164" fontId="44" fillId="0" borderId="122" xfId="0" applyFont="1" applyBorder="1" applyAlignment="1">
      <alignment horizontal="center" vertical="center" wrapText="1"/>
    </xf>
    <xf numFmtId="164" fontId="7" fillId="0" borderId="47" xfId="0" applyFont="1" applyBorder="1" applyAlignment="1">
      <alignment horizontal="center" vertical="center" wrapText="1"/>
    </xf>
    <xf numFmtId="164" fontId="30" fillId="0" borderId="2" xfId="0" applyFont="1" applyBorder="1" applyAlignment="1">
      <alignment horizontal="center" vertical="center" textRotation="90" wrapText="1"/>
    </xf>
    <xf numFmtId="164" fontId="7" fillId="0" borderId="19" xfId="0" applyFont="1" applyBorder="1" applyAlignment="1">
      <alignment horizontal="center" vertical="center" wrapText="1"/>
    </xf>
    <xf numFmtId="170" fontId="7" fillId="45" borderId="27" xfId="0" applyNumberFormat="1" applyFont="1" applyFill="1" applyBorder="1" applyAlignment="1">
      <alignment horizontal="center" vertical="center"/>
    </xf>
    <xf numFmtId="170" fontId="7" fillId="45" borderId="69" xfId="0" applyNumberFormat="1" applyFont="1" applyFill="1" applyBorder="1" applyAlignment="1">
      <alignment horizontal="center" vertical="center"/>
    </xf>
    <xf numFmtId="164" fontId="44" fillId="41" borderId="30" xfId="0" applyFont="1" applyFill="1" applyBorder="1" applyAlignment="1">
      <alignment horizontal="center" vertical="center"/>
    </xf>
    <xf numFmtId="164" fontId="27" fillId="41" borderId="31" xfId="0" applyFont="1" applyFill="1" applyBorder="1" applyAlignment="1">
      <alignment horizontal="center" vertical="center" wrapText="1"/>
    </xf>
    <xf numFmtId="167" fontId="39" fillId="46" borderId="89" xfId="0" applyNumberFormat="1" applyFont="1" applyFill="1" applyBorder="1" applyAlignment="1">
      <alignment horizontal="center" vertical="center"/>
    </xf>
    <xf numFmtId="167" fontId="39" fillId="46" borderId="99" xfId="0" applyNumberFormat="1" applyFont="1" applyFill="1" applyBorder="1" applyAlignment="1">
      <alignment horizontal="center" vertical="center"/>
    </xf>
    <xf numFmtId="164" fontId="7" fillId="41" borderId="90" xfId="0" applyFont="1" applyFill="1" applyBorder="1" applyAlignment="1">
      <alignment horizontal="center" vertical="center"/>
    </xf>
    <xf numFmtId="167" fontId="7" fillId="41" borderId="32" xfId="0" applyNumberFormat="1" applyFont="1" applyFill="1" applyBorder="1" applyAlignment="1">
      <alignment horizontal="center" vertical="center"/>
    </xf>
    <xf numFmtId="164" fontId="7" fillId="41" borderId="30" xfId="0" applyFont="1" applyFill="1" applyBorder="1" applyAlignment="1">
      <alignment horizontal="center" vertical="center"/>
    </xf>
    <xf numFmtId="167" fontId="7" fillId="41" borderId="89" xfId="0" applyNumberFormat="1" applyFont="1" applyFill="1" applyBorder="1" applyAlignment="1">
      <alignment horizontal="center" vertical="center"/>
    </xf>
    <xf numFmtId="170" fontId="7" fillId="41" borderId="30" xfId="0" applyNumberFormat="1" applyFont="1" applyFill="1" applyBorder="1" applyAlignment="1">
      <alignment horizontal="center" vertical="center"/>
    </xf>
    <xf numFmtId="167" fontId="7" fillId="42" borderId="90" xfId="0" applyNumberFormat="1" applyFont="1" applyFill="1" applyBorder="1" applyAlignment="1">
      <alignment horizontal="center" vertical="center"/>
    </xf>
    <xf numFmtId="167" fontId="7" fillId="44" borderId="90" xfId="0" applyNumberFormat="1" applyFont="1" applyFill="1" applyBorder="1" applyAlignment="1">
      <alignment horizontal="center" vertical="center"/>
    </xf>
    <xf numFmtId="167" fontId="7" fillId="47" borderId="31" xfId="0" applyNumberFormat="1" applyFont="1" applyFill="1" applyBorder="1" applyAlignment="1">
      <alignment horizontal="center" vertical="center"/>
    </xf>
    <xf numFmtId="167" fontId="7" fillId="48" borderId="32" xfId="0" applyNumberFormat="1" applyFont="1" applyFill="1" applyBorder="1" applyAlignment="1">
      <alignment horizontal="center" vertical="center"/>
    </xf>
    <xf numFmtId="167" fontId="32" fillId="49" borderId="26" xfId="0" applyNumberFormat="1" applyFont="1" applyFill="1" applyBorder="1" applyAlignment="1">
      <alignment horizontal="center" vertical="center"/>
    </xf>
    <xf numFmtId="164" fontId="32" fillId="31" borderId="27" xfId="0" applyFont="1" applyFill="1" applyBorder="1" applyAlignment="1">
      <alignment horizontal="center"/>
    </xf>
    <xf numFmtId="164" fontId="44" fillId="0" borderId="49" xfId="0" applyFont="1" applyFill="1" applyBorder="1" applyAlignment="1">
      <alignment horizontal="center" vertical="center"/>
    </xf>
    <xf numFmtId="164" fontId="27" fillId="7" borderId="50" xfId="0" applyFont="1" applyFill="1" applyBorder="1" applyAlignment="1">
      <alignment horizontal="center" vertical="center" wrapText="1"/>
    </xf>
    <xf numFmtId="164" fontId="44" fillId="0" borderId="108" xfId="0" applyFont="1" applyFill="1" applyBorder="1" applyAlignment="1">
      <alignment horizontal="center" vertical="center"/>
    </xf>
    <xf numFmtId="164" fontId="44" fillId="0" borderId="9" xfId="0" applyFont="1" applyFill="1" applyBorder="1" applyAlignment="1">
      <alignment horizontal="center"/>
    </xf>
    <xf numFmtId="164" fontId="7" fillId="0" borderId="44" xfId="0" applyFont="1" applyBorder="1" applyAlignment="1">
      <alignment horizontal="center" vertical="center"/>
    </xf>
    <xf numFmtId="167" fontId="39" fillId="9" borderId="68" xfId="0" applyNumberFormat="1" applyFont="1" applyFill="1" applyBorder="1" applyAlignment="1">
      <alignment horizontal="center" vertical="center"/>
    </xf>
    <xf numFmtId="167" fontId="39" fillId="9" borderId="62" xfId="0" applyNumberFormat="1" applyFont="1" applyFill="1" applyBorder="1" applyAlignment="1">
      <alignment horizontal="center" vertical="center"/>
    </xf>
    <xf numFmtId="164" fontId="7" fillId="7" borderId="137" xfId="0" applyFont="1" applyFill="1" applyBorder="1" applyAlignment="1">
      <alignment horizontal="center" vertical="center"/>
    </xf>
    <xf numFmtId="167" fontId="7" fillId="7" borderId="62" xfId="0" applyNumberFormat="1" applyFont="1" applyFill="1" applyBorder="1" applyAlignment="1">
      <alignment horizontal="center" vertical="center"/>
    </xf>
    <xf numFmtId="167" fontId="7" fillId="7" borderId="68" xfId="0" applyNumberFormat="1" applyFont="1" applyFill="1" applyBorder="1" applyAlignment="1">
      <alignment horizontal="center" vertical="center"/>
    </xf>
    <xf numFmtId="167" fontId="7" fillId="7" borderId="44" xfId="0" applyNumberFormat="1" applyFont="1" applyFill="1" applyBorder="1" applyAlignment="1">
      <alignment horizontal="center" vertical="center"/>
    </xf>
    <xf numFmtId="170" fontId="7" fillId="7" borderId="9" xfId="0" applyNumberFormat="1" applyFont="1" applyFill="1" applyBorder="1" applyAlignment="1">
      <alignment horizontal="center" vertical="center"/>
    </xf>
    <xf numFmtId="167" fontId="7" fillId="20" borderId="137" xfId="0" applyNumberFormat="1" applyFont="1" applyFill="1" applyBorder="1" applyAlignment="1">
      <alignment horizontal="center" vertical="center"/>
    </xf>
    <xf numFmtId="169" fontId="7" fillId="37" borderId="100" xfId="0" applyNumberFormat="1" applyFont="1" applyFill="1" applyBorder="1" applyAlignment="1">
      <alignment vertical="center"/>
    </xf>
    <xf numFmtId="167" fontId="7" fillId="22" borderId="10" xfId="0" applyNumberFormat="1" applyFont="1" applyFill="1" applyBorder="1" applyAlignment="1">
      <alignment horizontal="center" vertical="center"/>
    </xf>
    <xf numFmtId="167" fontId="7" fillId="6" borderId="44" xfId="0" applyNumberFormat="1" applyFont="1" applyFill="1" applyBorder="1" applyAlignment="1">
      <alignment horizontal="center" vertical="center"/>
    </xf>
    <xf numFmtId="164" fontId="44" fillId="0" borderId="20" xfId="0" applyFont="1" applyFill="1" applyBorder="1" applyAlignment="1">
      <alignment horizontal="center" wrapText="1"/>
    </xf>
    <xf numFmtId="167" fontId="7" fillId="7" borderId="130" xfId="0" applyNumberFormat="1" applyFont="1" applyFill="1" applyBorder="1" applyAlignment="1">
      <alignment horizontal="center" vertical="center"/>
    </xf>
    <xf numFmtId="164" fontId="44" fillId="0" borderId="26" xfId="0" applyFont="1" applyFill="1" applyBorder="1" applyAlignment="1">
      <alignment vertical="center"/>
    </xf>
    <xf numFmtId="164" fontId="27" fillId="0" borderId="27" xfId="0" applyFont="1" applyBorder="1" applyAlignment="1">
      <alignment horizontal="center" vertical="center"/>
    </xf>
    <xf numFmtId="169" fontId="7" fillId="37" borderId="50" xfId="0" applyNumberFormat="1" applyFont="1" applyFill="1" applyBorder="1" applyAlignment="1">
      <alignment vertical="center"/>
    </xf>
    <xf numFmtId="164" fontId="32" fillId="25" borderId="27" xfId="0" applyFont="1" applyFill="1" applyBorder="1" applyAlignment="1">
      <alignment horizontal="center"/>
    </xf>
    <xf numFmtId="164" fontId="27" fillId="0" borderId="27" xfId="0" applyFont="1" applyBorder="1" applyAlignment="1">
      <alignment horizontal="center" vertical="center" wrapText="1"/>
    </xf>
    <xf numFmtId="170" fontId="0" fillId="0" borderId="0" xfId="0" applyNumberFormat="1" applyAlignment="1">
      <alignment/>
    </xf>
    <xf numFmtId="164" fontId="27" fillId="7" borderId="27" xfId="0" applyFont="1" applyFill="1" applyBorder="1" applyAlignment="1">
      <alignment horizontal="center" vertical="center"/>
    </xf>
    <xf numFmtId="164" fontId="44" fillId="0" borderId="33" xfId="0" applyFont="1" applyFill="1" applyBorder="1" applyAlignment="1">
      <alignment vertical="center"/>
    </xf>
    <xf numFmtId="164" fontId="27" fillId="7" borderId="34" xfId="0" applyFont="1" applyFill="1" applyBorder="1" applyAlignment="1">
      <alignment horizontal="center" vertical="center" wrapText="1"/>
    </xf>
    <xf numFmtId="169" fontId="7" fillId="37" borderId="59" xfId="0" applyNumberFormat="1" applyFont="1" applyFill="1" applyBorder="1" applyAlignment="1">
      <alignment vertical="center"/>
    </xf>
    <xf numFmtId="164" fontId="32" fillId="23" borderId="34" xfId="0" applyFont="1" applyFill="1" applyBorder="1" applyAlignment="1">
      <alignment horizontal="center"/>
    </xf>
    <xf numFmtId="170" fontId="7" fillId="22" borderId="70" xfId="0" applyNumberFormat="1" applyFont="1" applyFill="1" applyBorder="1" applyAlignment="1">
      <alignment horizontal="center" vertical="center"/>
    </xf>
    <xf numFmtId="164" fontId="44" fillId="7" borderId="9" xfId="0" applyFont="1" applyFill="1" applyBorder="1" applyAlignment="1">
      <alignment horizontal="center" vertical="center" wrapText="1"/>
    </xf>
    <xf numFmtId="164" fontId="7" fillId="7" borderId="10" xfId="0" applyFont="1" applyFill="1" applyBorder="1" applyAlignment="1">
      <alignment horizontal="center" vertical="center"/>
    </xf>
    <xf numFmtId="169" fontId="7" fillId="37" borderId="137" xfId="0" applyNumberFormat="1" applyFont="1" applyFill="1" applyBorder="1" applyAlignment="1">
      <alignment horizontal="center" vertical="center"/>
    </xf>
    <xf numFmtId="164" fontId="44" fillId="7" borderId="26" xfId="0" applyFont="1" applyFill="1" applyBorder="1" applyAlignment="1">
      <alignment horizontal="center" vertical="center" wrapText="1"/>
    </xf>
    <xf numFmtId="169" fontId="7" fillId="37" borderId="118" xfId="0" applyNumberFormat="1" applyFont="1" applyFill="1" applyBorder="1" applyAlignment="1">
      <alignment horizontal="center" vertical="center"/>
    </xf>
    <xf numFmtId="164" fontId="44" fillId="0" borderId="26" xfId="0" applyFont="1" applyBorder="1" applyAlignment="1">
      <alignment horizontal="center" vertical="center" wrapText="1"/>
    </xf>
    <xf numFmtId="164" fontId="44" fillId="7" borderId="119" xfId="0" applyFont="1" applyFill="1" applyBorder="1" applyAlignment="1">
      <alignment horizontal="center" vertical="center" wrapText="1"/>
    </xf>
    <xf numFmtId="169" fontId="7" fillId="37" borderId="121" xfId="0" applyNumberFormat="1" applyFont="1" applyFill="1" applyBorder="1" applyAlignment="1">
      <alignment horizontal="center" vertical="center"/>
    </xf>
    <xf numFmtId="164" fontId="44" fillId="0" borderId="33" xfId="0" applyFont="1" applyFill="1" applyBorder="1" applyAlignment="1">
      <alignment horizontal="center" vertical="center"/>
    </xf>
    <xf numFmtId="164" fontId="27" fillId="0" borderId="34" xfId="0" applyFont="1" applyBorder="1" applyAlignment="1">
      <alignment horizontal="center" vertical="center"/>
    </xf>
    <xf numFmtId="164" fontId="44" fillId="0" borderId="17" xfId="0" applyFont="1" applyFill="1" applyBorder="1" applyAlignment="1">
      <alignment horizontal="center" vertical="center"/>
    </xf>
    <xf numFmtId="164" fontId="27" fillId="7" borderId="10" xfId="0" applyFont="1" applyFill="1" applyBorder="1" applyAlignment="1">
      <alignment horizontal="center" vertical="center" wrapText="1"/>
    </xf>
    <xf numFmtId="169" fontId="7" fillId="37" borderId="17" xfId="0" applyNumberFormat="1" applyFont="1" applyFill="1" applyBorder="1" applyAlignment="1">
      <alignment horizontal="center" vertical="center"/>
    </xf>
    <xf numFmtId="164" fontId="44" fillId="0" borderId="19" xfId="0" applyFont="1" applyBorder="1" applyAlignment="1">
      <alignment horizontal="center" vertical="center"/>
    </xf>
    <xf numFmtId="164" fontId="27" fillId="7" borderId="47" xfId="0" applyFont="1" applyFill="1" applyBorder="1" applyAlignment="1">
      <alignment horizontal="center" vertical="center" wrapText="1"/>
    </xf>
    <xf numFmtId="169" fontId="7" fillId="37" borderId="50" xfId="0" applyNumberFormat="1" applyFont="1" applyFill="1" applyBorder="1" applyAlignment="1">
      <alignment horizontal="center" vertical="center"/>
    </xf>
    <xf numFmtId="164" fontId="44" fillId="0" borderId="34" xfId="0" applyFont="1" applyBorder="1" applyAlignment="1">
      <alignment horizontal="center" vertical="center"/>
    </xf>
    <xf numFmtId="164" fontId="30" fillId="0" borderId="41" xfId="0" applyFont="1" applyBorder="1" applyAlignment="1">
      <alignment horizontal="center" vertical="center" textRotation="90" wrapText="1"/>
    </xf>
    <xf numFmtId="164" fontId="44" fillId="0" borderId="5" xfId="0" applyFont="1" applyBorder="1" applyAlignment="1">
      <alignment horizontal="center" vertical="center"/>
    </xf>
    <xf numFmtId="164" fontId="27" fillId="7" borderId="17" xfId="0" applyFont="1" applyFill="1" applyBorder="1" applyAlignment="1">
      <alignment horizontal="center" vertical="center" wrapText="1"/>
    </xf>
    <xf numFmtId="167" fontId="39" fillId="9" borderId="88" xfId="0" applyNumberFormat="1" applyFont="1" applyFill="1" applyBorder="1" applyAlignment="1">
      <alignment horizontal="center" vertical="center"/>
    </xf>
    <xf numFmtId="167" fontId="39" fillId="9" borderId="86" xfId="0" applyNumberFormat="1" applyFont="1" applyFill="1" applyBorder="1" applyAlignment="1">
      <alignment horizontal="center" vertical="center"/>
    </xf>
    <xf numFmtId="164" fontId="7" fillId="7" borderId="84" xfId="0" applyFont="1" applyFill="1" applyBorder="1" applyAlignment="1">
      <alignment horizontal="center" vertical="center"/>
    </xf>
    <xf numFmtId="167" fontId="7" fillId="7" borderId="18" xfId="0" applyNumberFormat="1" applyFont="1" applyFill="1" applyBorder="1" applyAlignment="1">
      <alignment horizontal="center" vertical="center"/>
    </xf>
    <xf numFmtId="164" fontId="7" fillId="7" borderId="16" xfId="0" applyFont="1" applyFill="1" applyBorder="1" applyAlignment="1">
      <alignment horizontal="center" vertical="center"/>
    </xf>
    <xf numFmtId="167" fontId="7" fillId="7" borderId="88" xfId="0" applyNumberFormat="1" applyFont="1" applyFill="1" applyBorder="1" applyAlignment="1">
      <alignment horizontal="center" vertical="center"/>
    </xf>
    <xf numFmtId="170" fontId="7" fillId="7" borderId="16" xfId="0" applyNumberFormat="1" applyFont="1" applyFill="1" applyBorder="1" applyAlignment="1">
      <alignment horizontal="center" vertical="center"/>
    </xf>
    <xf numFmtId="167" fontId="7" fillId="20" borderId="84" xfId="0" applyNumberFormat="1" applyFont="1" applyFill="1" applyBorder="1" applyAlignment="1">
      <alignment horizontal="center" vertical="center"/>
    </xf>
    <xf numFmtId="169" fontId="7" fillId="37" borderId="84" xfId="0" applyNumberFormat="1" applyFont="1" applyFill="1" applyBorder="1" applyAlignment="1">
      <alignment horizontal="center" vertical="center"/>
    </xf>
    <xf numFmtId="167" fontId="7" fillId="6" borderId="18" xfId="0" applyNumberFormat="1" applyFont="1" applyFill="1" applyBorder="1" applyAlignment="1">
      <alignment horizontal="center" vertical="center"/>
    </xf>
    <xf numFmtId="164" fontId="7" fillId="0" borderId="34" xfId="0" applyFont="1" applyBorder="1" applyAlignment="1">
      <alignment horizontal="center" vertical="center" wrapText="1"/>
    </xf>
    <xf numFmtId="169" fontId="7" fillId="37" borderId="149" xfId="0" applyNumberFormat="1" applyFont="1" applyFill="1" applyBorder="1" applyAlignment="1">
      <alignment horizontal="center" vertical="center"/>
    </xf>
    <xf numFmtId="167" fontId="7" fillId="22" borderId="102" xfId="0" applyNumberFormat="1" applyFont="1" applyFill="1" applyBorder="1" applyAlignment="1">
      <alignment horizontal="center" vertical="center"/>
    </xf>
    <xf numFmtId="167" fontId="7" fillId="6" borderId="150" xfId="0" applyNumberFormat="1" applyFont="1" applyFill="1" applyBorder="1" applyAlignment="1">
      <alignment horizontal="center" vertical="center"/>
    </xf>
    <xf numFmtId="164" fontId="27" fillId="7" borderId="5" xfId="0" applyFont="1" applyFill="1" applyBorder="1" applyAlignment="1">
      <alignment horizontal="center" vertical="center" wrapText="1"/>
    </xf>
    <xf numFmtId="167" fontId="39" fillId="9" borderId="61" xfId="0" applyNumberFormat="1" applyFont="1" applyFill="1" applyBorder="1" applyAlignment="1">
      <alignment horizontal="center" vertical="center"/>
    </xf>
    <xf numFmtId="167" fontId="39" fillId="9" borderId="151" xfId="0" applyNumberFormat="1" applyFont="1" applyFill="1" applyBorder="1" applyAlignment="1">
      <alignment horizontal="center" vertical="center"/>
    </xf>
    <xf numFmtId="164" fontId="7" fillId="7" borderId="67" xfId="0" applyFont="1" applyFill="1" applyBorder="1" applyAlignment="1">
      <alignment horizontal="center" vertical="center"/>
    </xf>
    <xf numFmtId="167" fontId="7" fillId="7" borderId="42" xfId="0" applyNumberFormat="1" applyFont="1" applyFill="1" applyBorder="1" applyAlignment="1">
      <alignment horizontal="center" vertical="center"/>
    </xf>
    <xf numFmtId="170" fontId="7" fillId="7" borderId="41" xfId="0" applyNumberFormat="1" applyFont="1" applyFill="1" applyBorder="1" applyAlignment="1">
      <alignment horizontal="center" vertical="center"/>
    </xf>
    <xf numFmtId="167" fontId="7" fillId="20" borderId="67" xfId="0" applyNumberFormat="1" applyFont="1" applyFill="1" applyBorder="1" applyAlignment="1">
      <alignment horizontal="center" vertical="center"/>
    </xf>
    <xf numFmtId="167" fontId="7" fillId="37" borderId="67" xfId="0" applyNumberFormat="1" applyFont="1" applyFill="1" applyBorder="1" applyAlignment="1">
      <alignment horizontal="center" vertical="center"/>
    </xf>
    <xf numFmtId="169" fontId="7" fillId="37" borderId="67" xfId="0" applyNumberFormat="1" applyFont="1" applyFill="1" applyBorder="1" applyAlignment="1">
      <alignment horizontal="center" vertical="center"/>
    </xf>
    <xf numFmtId="167" fontId="7" fillId="22" borderId="5" xfId="0" applyNumberFormat="1" applyFont="1" applyFill="1" applyBorder="1" applyAlignment="1">
      <alignment horizontal="center" vertical="center"/>
    </xf>
    <xf numFmtId="167" fontId="7" fillId="6" borderId="42" xfId="0" applyNumberFormat="1" applyFont="1" applyFill="1" applyBorder="1" applyAlignment="1">
      <alignment horizontal="center" vertical="center"/>
    </xf>
    <xf numFmtId="167" fontId="32" fillId="38" borderId="41" xfId="0" applyNumberFormat="1" applyFont="1" applyFill="1" applyBorder="1" applyAlignment="1">
      <alignment horizontal="center" vertical="center"/>
    </xf>
    <xf numFmtId="170" fontId="32" fillId="39" borderId="5" xfId="0" applyNumberFormat="1" applyFont="1" applyFill="1" applyBorder="1" applyAlignment="1">
      <alignment horizontal="center"/>
    </xf>
    <xf numFmtId="170" fontId="7" fillId="45" borderId="5" xfId="0" applyNumberFormat="1" applyFont="1" applyFill="1" applyBorder="1" applyAlignment="1">
      <alignment horizontal="center" vertical="center"/>
    </xf>
    <xf numFmtId="164" fontId="32" fillId="23" borderId="5" xfId="0" applyFont="1" applyFill="1" applyBorder="1" applyAlignment="1">
      <alignment horizontal="center"/>
    </xf>
    <xf numFmtId="170" fontId="32" fillId="6" borderId="5" xfId="0" applyNumberFormat="1" applyFont="1" applyFill="1" applyBorder="1" applyAlignment="1">
      <alignment horizontal="center"/>
    </xf>
    <xf numFmtId="170" fontId="7" fillId="45" borderId="61" xfId="0" applyNumberFormat="1" applyFont="1" applyFill="1" applyBorder="1" applyAlignment="1">
      <alignment horizontal="center" vertical="center"/>
    </xf>
    <xf numFmtId="164" fontId="14" fillId="0" borderId="23" xfId="0" applyFont="1" applyBorder="1" applyAlignment="1">
      <alignment horizontal="center" vertical="center" textRotation="90" wrapText="1"/>
    </xf>
    <xf numFmtId="164" fontId="44" fillId="0" borderId="24" xfId="0" applyFont="1" applyBorder="1" applyAlignment="1">
      <alignment horizontal="center" vertical="center" wrapText="1"/>
    </xf>
    <xf numFmtId="164" fontId="44" fillId="0" borderId="31" xfId="0" applyFont="1" applyBorder="1" applyAlignment="1">
      <alignment horizontal="center" vertical="center"/>
    </xf>
    <xf numFmtId="164" fontId="14" fillId="0" borderId="73" xfId="0" applyFont="1" applyBorder="1" applyAlignment="1">
      <alignment horizontal="center" vertical="center" textRotation="90" wrapText="1"/>
    </xf>
    <xf numFmtId="169" fontId="7" fillId="37" borderId="90" xfId="0" applyNumberFormat="1" applyFont="1" applyFill="1" applyBorder="1" applyAlignment="1">
      <alignment horizontal="center" vertical="center"/>
    </xf>
    <xf numFmtId="164" fontId="14" fillId="0" borderId="108" xfId="0" applyFont="1" applyBorder="1" applyAlignment="1">
      <alignment horizontal="center" vertical="center" textRotation="90" wrapText="1"/>
    </xf>
    <xf numFmtId="164" fontId="44" fillId="0" borderId="66" xfId="0" applyFont="1" applyFill="1" applyBorder="1" applyAlignment="1">
      <alignment horizontal="center" vertical="center" wrapText="1"/>
    </xf>
    <xf numFmtId="164" fontId="27" fillId="7" borderId="66" xfId="0" applyFont="1" applyFill="1" applyBorder="1" applyAlignment="1">
      <alignment horizontal="center" vertical="center" wrapText="1"/>
    </xf>
    <xf numFmtId="164" fontId="7" fillId="7" borderId="142" xfId="0" applyFont="1" applyFill="1" applyBorder="1" applyAlignment="1">
      <alignment horizontal="center" vertical="center"/>
    </xf>
    <xf numFmtId="167" fontId="7" fillId="7" borderId="152" xfId="0" applyNumberFormat="1" applyFont="1" applyFill="1" applyBorder="1" applyAlignment="1">
      <alignment horizontal="center" vertical="center"/>
    </xf>
    <xf numFmtId="169" fontId="7" fillId="37" borderId="66" xfId="0" applyNumberFormat="1" applyFont="1" applyFill="1" applyBorder="1" applyAlignment="1">
      <alignment horizontal="center" vertical="center"/>
    </xf>
    <xf numFmtId="167" fontId="7" fillId="7" borderId="15" xfId="0" applyNumberFormat="1" applyFont="1" applyFill="1" applyBorder="1" applyAlignment="1">
      <alignment horizontal="center" vertical="center"/>
    </xf>
    <xf numFmtId="164" fontId="14" fillId="0" borderId="30" xfId="0" applyFont="1" applyBorder="1" applyAlignment="1">
      <alignment horizontal="center" vertical="center" textRotation="90" wrapText="1"/>
    </xf>
    <xf numFmtId="164" fontId="44" fillId="0" borderId="31" xfId="0" applyFont="1" applyBorder="1" applyAlignment="1">
      <alignment horizontal="center" vertical="center" wrapText="1"/>
    </xf>
    <xf numFmtId="164" fontId="7" fillId="7" borderId="19" xfId="0" applyFont="1" applyFill="1" applyBorder="1" applyAlignment="1">
      <alignment horizontal="center" vertical="center"/>
    </xf>
    <xf numFmtId="167" fontId="32" fillId="38" borderId="111" xfId="0" applyNumberFormat="1" applyFont="1" applyFill="1" applyBorder="1" applyAlignment="1">
      <alignment horizontal="center" vertical="center"/>
    </xf>
    <xf numFmtId="170" fontId="7" fillId="22" borderId="112" xfId="0" applyNumberFormat="1" applyFont="1" applyFill="1" applyBorder="1" applyAlignment="1">
      <alignment horizontal="center" vertical="center"/>
    </xf>
    <xf numFmtId="164" fontId="0" fillId="0" borderId="0" xfId="0" applyFont="1" applyAlignment="1">
      <alignment wrapText="1"/>
    </xf>
    <xf numFmtId="169" fontId="7" fillId="37" borderId="127" xfId="0" applyNumberFormat="1" applyFont="1" applyFill="1" applyBorder="1" applyAlignment="1">
      <alignment horizontal="center" vertical="center"/>
    </xf>
    <xf numFmtId="167" fontId="32" fillId="38" borderId="122" xfId="0" applyNumberFormat="1" applyFont="1" applyFill="1" applyBorder="1" applyAlignment="1">
      <alignment horizontal="center" vertical="center"/>
    </xf>
    <xf numFmtId="170" fontId="32" fillId="39" borderId="96" xfId="0" applyNumberFormat="1" applyFont="1" applyFill="1" applyBorder="1" applyAlignment="1">
      <alignment horizontal="center"/>
    </xf>
    <xf numFmtId="170" fontId="7" fillId="22" borderId="96" xfId="0" applyNumberFormat="1" applyFont="1" applyFill="1" applyBorder="1" applyAlignment="1">
      <alignment horizontal="center" vertical="center"/>
    </xf>
    <xf numFmtId="170" fontId="32" fillId="6" borderId="96" xfId="0" applyNumberFormat="1" applyFont="1" applyFill="1" applyBorder="1" applyAlignment="1">
      <alignment horizontal="center"/>
    </xf>
    <xf numFmtId="170" fontId="7" fillId="22" borderId="123" xfId="0" applyNumberFormat="1" applyFont="1" applyFill="1" applyBorder="1" applyAlignment="1">
      <alignment horizontal="center" vertical="center"/>
    </xf>
    <xf numFmtId="164" fontId="14" fillId="0" borderId="49" xfId="0" applyFont="1" applyBorder="1" applyAlignment="1">
      <alignment horizontal="center" vertical="center" textRotation="90" wrapText="1"/>
    </xf>
    <xf numFmtId="164" fontId="44" fillId="0" borderId="50" xfId="0" applyFont="1" applyBorder="1" applyAlignment="1">
      <alignment horizontal="center" vertical="center" wrapText="1"/>
    </xf>
    <xf numFmtId="164" fontId="7" fillId="7" borderId="50" xfId="0" applyFont="1" applyFill="1" applyBorder="1" applyAlignment="1">
      <alignment horizontal="center" vertical="center"/>
    </xf>
    <xf numFmtId="169" fontId="7" fillId="37" borderId="97" xfId="0" applyNumberFormat="1" applyFont="1" applyFill="1" applyBorder="1" applyAlignment="1">
      <alignment horizontal="center" vertical="center"/>
    </xf>
    <xf numFmtId="170" fontId="7" fillId="45" borderId="21" xfId="0" applyNumberFormat="1" applyFont="1" applyFill="1" applyBorder="1" applyAlignment="1">
      <alignment horizontal="center" vertical="center"/>
    </xf>
    <xf numFmtId="170" fontId="7" fillId="45" borderId="129" xfId="0" applyNumberFormat="1" applyFont="1" applyFill="1" applyBorder="1" applyAlignment="1">
      <alignment horizontal="center" vertical="center"/>
    </xf>
    <xf numFmtId="170" fontId="7" fillId="45" borderId="47" xfId="0" applyNumberFormat="1" applyFont="1" applyFill="1" applyBorder="1" applyAlignment="1">
      <alignment horizontal="center" vertical="center"/>
    </xf>
    <xf numFmtId="170" fontId="7" fillId="45" borderId="120" xfId="0" applyNumberFormat="1" applyFont="1" applyFill="1" applyBorder="1" applyAlignment="1">
      <alignment horizontal="center" vertical="center"/>
    </xf>
    <xf numFmtId="180" fontId="7" fillId="7" borderId="19" xfId="0" applyNumberFormat="1" applyFont="1" applyFill="1" applyBorder="1" applyAlignment="1">
      <alignment horizontal="center" vertical="center"/>
    </xf>
    <xf numFmtId="169" fontId="7" fillId="37" borderId="116" xfId="0" applyNumberFormat="1" applyFont="1" applyFill="1" applyBorder="1" applyAlignment="1">
      <alignment horizontal="center" vertical="center"/>
    </xf>
    <xf numFmtId="170" fontId="7" fillId="45" borderId="19" xfId="0" applyNumberFormat="1" applyFont="1" applyFill="1" applyBorder="1" applyAlignment="1">
      <alignment horizontal="center" vertical="center"/>
    </xf>
    <xf numFmtId="170" fontId="7" fillId="45" borderId="112" xfId="0" applyNumberFormat="1" applyFont="1" applyFill="1" applyBorder="1" applyAlignment="1">
      <alignment horizontal="center" vertical="center"/>
    </xf>
    <xf numFmtId="180" fontId="7" fillId="7" borderId="27" xfId="0" applyNumberFormat="1" applyFont="1" applyFill="1" applyBorder="1" applyAlignment="1">
      <alignment horizontal="center" vertical="center"/>
    </xf>
    <xf numFmtId="180" fontId="7" fillId="7" borderId="96" xfId="0" applyNumberFormat="1" applyFont="1" applyFill="1" applyBorder="1" applyAlignment="1">
      <alignment horizontal="center" vertical="center"/>
    </xf>
    <xf numFmtId="170" fontId="7" fillId="45" borderId="96" xfId="0" applyNumberFormat="1" applyFont="1" applyFill="1" applyBorder="1" applyAlignment="1">
      <alignment horizontal="center" vertical="center"/>
    </xf>
    <xf numFmtId="170" fontId="7" fillId="45" borderId="123" xfId="0" applyNumberFormat="1" applyFont="1" applyFill="1" applyBorder="1" applyAlignment="1">
      <alignment horizontal="center" vertical="center"/>
    </xf>
    <xf numFmtId="164" fontId="37" fillId="0" borderId="40" xfId="0" applyFont="1" applyBorder="1" applyAlignment="1">
      <alignment horizontal="center" vertical="center" textRotation="90" wrapText="1"/>
    </xf>
    <xf numFmtId="164" fontId="44" fillId="0" borderId="139" xfId="0" applyFont="1" applyBorder="1" applyAlignment="1">
      <alignment horizontal="center" vertical="center"/>
    </xf>
    <xf numFmtId="167" fontId="39" fillId="9" borderId="1" xfId="0" applyNumberFormat="1" applyFont="1" applyFill="1" applyBorder="1" applyAlignment="1">
      <alignment horizontal="center" vertical="center"/>
    </xf>
    <xf numFmtId="170" fontId="7" fillId="7" borderId="51" xfId="0" applyNumberFormat="1" applyFont="1" applyFill="1" applyBorder="1" applyAlignment="1">
      <alignment horizontal="center" vertical="center"/>
    </xf>
    <xf numFmtId="164" fontId="7" fillId="7" borderId="34" xfId="0" applyFont="1" applyFill="1" applyBorder="1" applyAlignment="1">
      <alignment horizontal="center" vertical="center"/>
    </xf>
    <xf numFmtId="167" fontId="39" fillId="9" borderId="60" xfId="0" applyNumberFormat="1" applyFont="1" applyFill="1" applyBorder="1" applyAlignment="1">
      <alignment horizontal="center" vertical="center"/>
    </xf>
    <xf numFmtId="164" fontId="7" fillId="7" borderId="59" xfId="0" applyFont="1" applyFill="1" applyBorder="1" applyAlignment="1">
      <alignment horizontal="center" vertical="center"/>
    </xf>
    <xf numFmtId="164" fontId="0" fillId="0" borderId="40" xfId="0" applyBorder="1" applyAlignment="1">
      <alignment/>
    </xf>
    <xf numFmtId="164" fontId="44" fillId="0" borderId="1" xfId="0" applyFont="1" applyFill="1" applyBorder="1" applyAlignment="1">
      <alignment horizontal="center" vertical="center"/>
    </xf>
    <xf numFmtId="164" fontId="32" fillId="38" borderId="59" xfId="0" applyFont="1" applyFill="1" applyBorder="1" applyAlignment="1">
      <alignment horizontal="center" vertical="center" wrapText="1"/>
    </xf>
    <xf numFmtId="164" fontId="41" fillId="41" borderId="60" xfId="0" applyFont="1" applyFill="1" applyBorder="1" applyAlignment="1">
      <alignment horizontal="center" vertical="center"/>
    </xf>
    <xf numFmtId="170" fontId="32" fillId="38" borderId="51" xfId="0" applyNumberFormat="1" applyFont="1" applyFill="1" applyBorder="1" applyAlignment="1">
      <alignment horizontal="center" vertical="center"/>
    </xf>
    <xf numFmtId="167" fontId="42" fillId="47" borderId="24" xfId="0" applyNumberFormat="1" applyFont="1" applyFill="1" applyBorder="1" applyAlignment="1">
      <alignment horizontal="center" vertical="center"/>
    </xf>
    <xf numFmtId="167" fontId="43" fillId="6" borderId="25" xfId="0" applyNumberFormat="1" applyFont="1" applyFill="1" applyBorder="1" applyAlignment="1">
      <alignment horizontal="center" vertical="center"/>
    </xf>
    <xf numFmtId="167" fontId="42" fillId="47" borderId="5" xfId="0" applyNumberFormat="1" applyFont="1" applyFill="1" applyBorder="1" applyAlignment="1">
      <alignment horizontal="center" vertical="center"/>
    </xf>
    <xf numFmtId="167" fontId="42" fillId="47" borderId="61" xfId="0" applyNumberFormat="1" applyFont="1" applyFill="1" applyBorder="1" applyAlignment="1">
      <alignment horizontal="center" vertical="center"/>
    </xf>
    <xf numFmtId="164" fontId="9" fillId="0" borderId="0" xfId="0" applyFont="1" applyAlignment="1">
      <alignment wrapText="1"/>
    </xf>
    <xf numFmtId="164" fontId="20" fillId="0" borderId="1" xfId="0" applyFont="1" applyBorder="1" applyAlignment="1">
      <alignment horizontal="center"/>
    </xf>
    <xf numFmtId="164" fontId="20" fillId="0" borderId="0" xfId="0" applyFont="1" applyAlignment="1">
      <alignment/>
    </xf>
    <xf numFmtId="178" fontId="32" fillId="6" borderId="85" xfId="0" applyNumberFormat="1" applyFont="1" applyFill="1" applyBorder="1" applyAlignment="1">
      <alignment horizontal="center" vertical="center"/>
    </xf>
    <xf numFmtId="164" fontId="32" fillId="6" borderId="85" xfId="0" applyFont="1" applyFill="1" applyBorder="1" applyAlignment="1">
      <alignment horizontal="center" vertical="center"/>
    </xf>
    <xf numFmtId="164" fontId="32" fillId="6" borderId="71" xfId="0" applyFont="1" applyFill="1" applyBorder="1" applyAlignment="1">
      <alignment horizontal="center" vertical="center"/>
    </xf>
    <xf numFmtId="164" fontId="32" fillId="6" borderId="86" xfId="0" applyFont="1" applyFill="1" applyBorder="1" applyAlignment="1">
      <alignment horizontal="center" vertical="center"/>
    </xf>
    <xf numFmtId="164" fontId="22" fillId="6" borderId="105" xfId="0" applyFont="1" applyFill="1" applyBorder="1" applyAlignment="1">
      <alignment horizontal="center" vertical="center" wrapText="1"/>
    </xf>
    <xf numFmtId="164" fontId="22" fillId="6" borderId="87" xfId="0" applyFont="1" applyFill="1" applyBorder="1" applyAlignment="1">
      <alignment horizontal="center" vertical="center"/>
    </xf>
    <xf numFmtId="164" fontId="22" fillId="6" borderId="42" xfId="0" applyFont="1" applyFill="1" applyBorder="1" applyAlignment="1">
      <alignment horizontal="center" vertical="center" wrapText="1"/>
    </xf>
    <xf numFmtId="177" fontId="33" fillId="0" borderId="108" xfId="0" applyNumberFormat="1" applyFont="1" applyBorder="1" applyAlignment="1">
      <alignment horizontal="center" vertical="center" wrapText="1"/>
    </xf>
    <xf numFmtId="167" fontId="34" fillId="20" borderId="105" xfId="0" applyNumberFormat="1" applyFont="1" applyFill="1" applyBorder="1" applyAlignment="1">
      <alignment horizontal="center" vertical="center" wrapText="1"/>
    </xf>
    <xf numFmtId="167" fontId="34" fillId="16" borderId="135" xfId="0" applyNumberFormat="1" applyFont="1" applyFill="1" applyBorder="1" applyAlignment="1">
      <alignment horizontal="center" vertical="center" wrapText="1"/>
    </xf>
    <xf numFmtId="167" fontId="34" fillId="22" borderId="100" xfId="0" applyNumberFormat="1" applyFont="1" applyFill="1" applyBorder="1" applyAlignment="1">
      <alignment horizontal="center" vertical="center" wrapText="1"/>
    </xf>
    <xf numFmtId="167" fontId="34" fillId="6" borderId="100" xfId="0" applyNumberFormat="1" applyFont="1" applyFill="1" applyBorder="1" applyAlignment="1">
      <alignment horizontal="center" vertical="center" wrapText="1"/>
    </xf>
    <xf numFmtId="164" fontId="35" fillId="38" borderId="100" xfId="0" applyFont="1" applyFill="1" applyBorder="1" applyAlignment="1">
      <alignment horizontal="center" vertical="center" wrapText="1"/>
    </xf>
    <xf numFmtId="164" fontId="35" fillId="39" borderId="53" xfId="0" applyFont="1" applyFill="1" applyBorder="1" applyAlignment="1">
      <alignment horizontal="center" vertical="center" wrapText="1"/>
    </xf>
    <xf numFmtId="167" fontId="34" fillId="37" borderId="58" xfId="0" applyNumberFormat="1" applyFont="1" applyFill="1" applyBorder="1" applyAlignment="1">
      <alignment horizontal="center" vertical="center" wrapText="1"/>
    </xf>
    <xf numFmtId="167" fontId="34" fillId="37" borderId="94" xfId="0" applyNumberFormat="1" applyFont="1" applyFill="1" applyBorder="1" applyAlignment="1">
      <alignment horizontal="center" vertical="center" wrapText="1"/>
    </xf>
    <xf numFmtId="164" fontId="6" fillId="7" borderId="52" xfId="0" applyFont="1" applyFill="1" applyBorder="1" applyAlignment="1">
      <alignment horizontal="center" vertical="center" wrapText="1"/>
    </xf>
    <xf numFmtId="164" fontId="0" fillId="0" borderId="9" xfId="0" applyBorder="1" applyAlignment="1">
      <alignment horizontal="center"/>
    </xf>
    <xf numFmtId="167" fontId="0" fillId="0" borderId="68" xfId="0" applyNumberFormat="1" applyBorder="1" applyAlignment="1">
      <alignment horizontal="center"/>
    </xf>
    <xf numFmtId="167" fontId="0" fillId="0" borderId="44" xfId="0" applyNumberFormat="1" applyBorder="1" applyAlignment="1">
      <alignment horizontal="center"/>
    </xf>
    <xf numFmtId="164" fontId="0" fillId="0" borderId="137" xfId="0" applyBorder="1" applyAlignment="1">
      <alignment horizontal="center"/>
    </xf>
    <xf numFmtId="167" fontId="7" fillId="20" borderId="9" xfId="0" applyNumberFormat="1" applyFont="1" applyFill="1" applyBorder="1" applyAlignment="1">
      <alignment horizontal="center" vertical="center"/>
    </xf>
    <xf numFmtId="183" fontId="7" fillId="16" borderId="5" xfId="0" applyNumberFormat="1" applyFont="1" applyFill="1" applyBorder="1" applyAlignment="1">
      <alignment horizontal="center" vertical="center"/>
    </xf>
    <xf numFmtId="167" fontId="7" fillId="6" borderId="10" xfId="0" applyNumberFormat="1" applyFont="1" applyFill="1" applyBorder="1" applyAlignment="1">
      <alignment horizontal="center" vertical="center"/>
    </xf>
    <xf numFmtId="167" fontId="32" fillId="38" borderId="10" xfId="0" applyNumberFormat="1" applyFont="1" applyFill="1" applyBorder="1" applyAlignment="1">
      <alignment horizontal="center" vertical="center"/>
    </xf>
    <xf numFmtId="164" fontId="27" fillId="37" borderId="153" xfId="0" applyFont="1" applyFill="1" applyBorder="1" applyAlignment="1">
      <alignment/>
    </xf>
    <xf numFmtId="164" fontId="27" fillId="37" borderId="94" xfId="0" applyFont="1" applyFill="1" applyBorder="1" applyAlignment="1">
      <alignment/>
    </xf>
    <xf numFmtId="164" fontId="7" fillId="7" borderId="63" xfId="0" applyFont="1" applyFill="1" applyBorder="1" applyAlignment="1">
      <alignment horizontal="center" vertical="center"/>
    </xf>
    <xf numFmtId="167" fontId="7" fillId="6" borderId="45" xfId="0" applyNumberFormat="1" applyFont="1" applyFill="1" applyBorder="1" applyAlignment="1">
      <alignment horizontal="center" vertical="center" wrapText="1"/>
    </xf>
    <xf numFmtId="164" fontId="0" fillId="0" borderId="26" xfId="0" applyBorder="1" applyAlignment="1">
      <alignment horizontal="center"/>
    </xf>
    <xf numFmtId="167" fontId="0" fillId="0" borderId="69" xfId="0" applyNumberFormat="1" applyBorder="1" applyAlignment="1">
      <alignment horizontal="center"/>
    </xf>
    <xf numFmtId="167" fontId="0" fillId="0" borderId="45" xfId="0" applyNumberFormat="1" applyBorder="1" applyAlignment="1">
      <alignment horizontal="center"/>
    </xf>
    <xf numFmtId="164" fontId="0" fillId="0" borderId="118" xfId="0" applyBorder="1" applyAlignment="1">
      <alignment horizontal="center"/>
    </xf>
    <xf numFmtId="167" fontId="7" fillId="20" borderId="26" xfId="0" applyNumberFormat="1" applyFont="1" applyFill="1" applyBorder="1" applyAlignment="1">
      <alignment horizontal="center" vertical="center"/>
    </xf>
    <xf numFmtId="164" fontId="0" fillId="0" borderId="33" xfId="0" applyBorder="1" applyAlignment="1">
      <alignment horizontal="center"/>
    </xf>
    <xf numFmtId="167" fontId="0" fillId="0" borderId="70" xfId="0" applyNumberFormat="1" applyBorder="1" applyAlignment="1">
      <alignment horizontal="center"/>
    </xf>
    <xf numFmtId="167" fontId="0" fillId="0" borderId="48" xfId="0" applyNumberFormat="1" applyBorder="1" applyAlignment="1">
      <alignment horizontal="center"/>
    </xf>
    <xf numFmtId="164" fontId="0" fillId="0" borderId="91" xfId="0" applyBorder="1" applyAlignment="1">
      <alignment horizontal="center"/>
    </xf>
    <xf numFmtId="167" fontId="7" fillId="20" borderId="33" xfId="0" applyNumberFormat="1" applyFont="1" applyFill="1" applyBorder="1" applyAlignment="1">
      <alignment horizontal="center" vertical="center"/>
    </xf>
    <xf numFmtId="167" fontId="7" fillId="6" borderId="44" xfId="0" applyNumberFormat="1" applyFont="1" applyFill="1" applyBorder="1" applyAlignment="1">
      <alignment horizontal="center" vertical="center" wrapText="1"/>
    </xf>
    <xf numFmtId="183" fontId="7" fillId="24" borderId="137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horizontal="center" vertical="center"/>
    </xf>
    <xf numFmtId="164" fontId="0" fillId="0" borderId="131" xfId="0" applyBorder="1" applyAlignment="1">
      <alignment horizontal="center"/>
    </xf>
    <xf numFmtId="167" fontId="0" fillId="0" borderId="129" xfId="0" applyNumberFormat="1" applyBorder="1" applyAlignment="1">
      <alignment horizontal="center"/>
    </xf>
    <xf numFmtId="167" fontId="0" fillId="0" borderId="63" xfId="0" applyNumberFormat="1" applyBorder="1" applyAlignment="1">
      <alignment horizontal="center"/>
    </xf>
    <xf numFmtId="183" fontId="7" fillId="16" borderId="27" xfId="0" applyNumberFormat="1" applyFont="1" applyFill="1" applyBorder="1" applyAlignment="1">
      <alignment horizontal="center" vertical="center"/>
    </xf>
    <xf numFmtId="164" fontId="0" fillId="0" borderId="54" xfId="0" applyBorder="1" applyAlignment="1">
      <alignment horizontal="center"/>
    </xf>
    <xf numFmtId="164" fontId="7" fillId="18" borderId="46" xfId="0" applyFont="1" applyFill="1" applyBorder="1" applyAlignment="1">
      <alignment horizontal="center" vertical="center"/>
    </xf>
    <xf numFmtId="167" fontId="7" fillId="6" borderId="46" xfId="0" applyNumberFormat="1" applyFont="1" applyFill="1" applyBorder="1" applyAlignment="1">
      <alignment horizontal="center" vertical="center" wrapText="1"/>
    </xf>
    <xf numFmtId="183" fontId="7" fillId="24" borderId="27" xfId="0" applyNumberFormat="1" applyFont="1" applyFill="1" applyBorder="1" applyAlignment="1">
      <alignment horizontal="center" vertical="center"/>
    </xf>
    <xf numFmtId="164" fontId="0" fillId="0" borderId="57" xfId="0" applyBorder="1" applyAlignment="1">
      <alignment horizontal="center"/>
    </xf>
    <xf numFmtId="164" fontId="0" fillId="0" borderId="37" xfId="0" applyBorder="1" applyAlignment="1">
      <alignment horizontal="center"/>
    </xf>
    <xf numFmtId="167" fontId="0" fillId="0" borderId="110" xfId="0" applyNumberFormat="1" applyBorder="1" applyAlignment="1">
      <alignment horizontal="center"/>
    </xf>
    <xf numFmtId="167" fontId="0" fillId="0" borderId="92" xfId="0" applyNumberFormat="1" applyBorder="1" applyAlignment="1">
      <alignment horizontal="center"/>
    </xf>
    <xf numFmtId="164" fontId="0" fillId="0" borderId="55" xfId="0" applyBorder="1" applyAlignment="1">
      <alignment horizontal="center"/>
    </xf>
    <xf numFmtId="167" fontId="0" fillId="0" borderId="120" xfId="0" applyNumberFormat="1" applyBorder="1" applyAlignment="1">
      <alignment horizontal="center"/>
    </xf>
    <xf numFmtId="164" fontId="0" fillId="0" borderId="119" xfId="0" applyBorder="1" applyAlignment="1">
      <alignment horizontal="center"/>
    </xf>
    <xf numFmtId="167" fontId="0" fillId="0" borderId="46" xfId="0" applyNumberFormat="1" applyBorder="1" applyAlignment="1">
      <alignment horizontal="center"/>
    </xf>
    <xf numFmtId="164" fontId="0" fillId="0" borderId="121" xfId="0" applyBorder="1" applyAlignment="1">
      <alignment horizontal="center"/>
    </xf>
    <xf numFmtId="183" fontId="7" fillId="16" borderId="138" xfId="0" applyNumberFormat="1" applyFont="1" applyFill="1" applyBorder="1" applyAlignment="1">
      <alignment horizontal="center" vertical="center"/>
    </xf>
    <xf numFmtId="164" fontId="7" fillId="7" borderId="75" xfId="0" applyFont="1" applyFill="1" applyBorder="1" applyAlignment="1">
      <alignment horizontal="center" vertical="center"/>
    </xf>
    <xf numFmtId="167" fontId="7" fillId="6" borderId="93" xfId="0" applyNumberFormat="1" applyFont="1" applyFill="1" applyBorder="1" applyAlignment="1">
      <alignment horizontal="center" vertical="center" wrapText="1"/>
    </xf>
    <xf numFmtId="164" fontId="0" fillId="0" borderId="93" xfId="0" applyBorder="1" applyAlignment="1">
      <alignment horizontal="center"/>
    </xf>
    <xf numFmtId="167" fontId="0" fillId="0" borderId="93" xfId="0" applyNumberFormat="1" applyBorder="1" applyAlignment="1">
      <alignment horizontal="center"/>
    </xf>
    <xf numFmtId="167" fontId="0" fillId="0" borderId="154" xfId="0" applyNumberFormat="1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81" xfId="0" applyBorder="1" applyAlignment="1">
      <alignment horizontal="center"/>
    </xf>
    <xf numFmtId="167" fontId="7" fillId="20" borderId="93" xfId="0" applyNumberFormat="1" applyFont="1" applyFill="1" applyBorder="1" applyAlignment="1">
      <alignment horizontal="center" vertical="center"/>
    </xf>
    <xf numFmtId="167" fontId="7" fillId="22" borderId="93" xfId="0" applyNumberFormat="1" applyFont="1" applyFill="1" applyBorder="1" applyAlignment="1">
      <alignment horizontal="center" vertical="center"/>
    </xf>
    <xf numFmtId="167" fontId="7" fillId="6" borderId="93" xfId="0" applyNumberFormat="1" applyFont="1" applyFill="1" applyBorder="1" applyAlignment="1">
      <alignment horizontal="center" vertical="center"/>
    </xf>
    <xf numFmtId="167" fontId="32" fillId="38" borderId="93" xfId="0" applyNumberFormat="1" applyFont="1" applyFill="1" applyBorder="1" applyAlignment="1">
      <alignment horizontal="center" vertical="center"/>
    </xf>
    <xf numFmtId="170" fontId="32" fillId="39" borderId="76" xfId="0" applyNumberFormat="1" applyFont="1" applyFill="1" applyBorder="1" applyAlignment="1">
      <alignment horizontal="center"/>
    </xf>
    <xf numFmtId="164" fontId="7" fillId="7" borderId="79" xfId="0" applyFont="1" applyFill="1" applyBorder="1" applyAlignment="1">
      <alignment horizontal="center" vertical="center"/>
    </xf>
    <xf numFmtId="167" fontId="7" fillId="6" borderId="155" xfId="0" applyNumberFormat="1" applyFont="1" applyFill="1" applyBorder="1" applyAlignment="1">
      <alignment horizontal="center" vertical="center" wrapText="1"/>
    </xf>
    <xf numFmtId="164" fontId="0" fillId="0" borderId="155" xfId="0" applyBorder="1" applyAlignment="1">
      <alignment horizontal="center"/>
    </xf>
    <xf numFmtId="167" fontId="0" fillId="0" borderId="155" xfId="0" applyNumberFormat="1" applyBorder="1" applyAlignment="1">
      <alignment horizontal="center"/>
    </xf>
    <xf numFmtId="167" fontId="0" fillId="0" borderId="156" xfId="0" applyNumberFormat="1" applyBorder="1" applyAlignment="1">
      <alignment horizontal="center"/>
    </xf>
    <xf numFmtId="164" fontId="0" fillId="0" borderId="96" xfId="0" applyBorder="1" applyAlignment="1">
      <alignment horizontal="center"/>
    </xf>
    <xf numFmtId="167" fontId="0" fillId="0" borderId="96" xfId="0" applyNumberFormat="1" applyBorder="1" applyAlignment="1">
      <alignment horizontal="center"/>
    </xf>
    <xf numFmtId="164" fontId="0" fillId="0" borderId="83" xfId="0" applyBorder="1" applyAlignment="1">
      <alignment horizontal="center"/>
    </xf>
    <xf numFmtId="167" fontId="7" fillId="20" borderId="155" xfId="0" applyNumberFormat="1" applyFont="1" applyFill="1" applyBorder="1" applyAlignment="1">
      <alignment horizontal="center" vertical="center"/>
    </xf>
    <xf numFmtId="167" fontId="7" fillId="22" borderId="155" xfId="0" applyNumberFormat="1" applyFont="1" applyFill="1" applyBorder="1" applyAlignment="1">
      <alignment horizontal="center" vertical="center"/>
    </xf>
    <xf numFmtId="167" fontId="7" fillId="6" borderId="155" xfId="0" applyNumberFormat="1" applyFont="1" applyFill="1" applyBorder="1" applyAlignment="1">
      <alignment horizontal="center" vertical="center"/>
    </xf>
    <xf numFmtId="167" fontId="32" fillId="38" borderId="155" xfId="0" applyNumberFormat="1" applyFont="1" applyFill="1" applyBorder="1" applyAlignment="1">
      <alignment horizontal="center" vertical="center"/>
    </xf>
    <xf numFmtId="170" fontId="32" fillId="39" borderId="80" xfId="0" applyNumberFormat="1" applyFont="1" applyFill="1" applyBorder="1" applyAlignment="1">
      <alignment horizontal="center"/>
    </xf>
    <xf numFmtId="164" fontId="7" fillId="7" borderId="157" xfId="0" applyFont="1" applyFill="1" applyBorder="1" applyAlignment="1">
      <alignment horizontal="center" vertical="center"/>
    </xf>
    <xf numFmtId="167" fontId="7" fillId="6" borderId="0" xfId="0" applyNumberFormat="1" applyFont="1" applyFill="1" applyBorder="1" applyAlignment="1">
      <alignment horizontal="center" vertical="center" wrapText="1"/>
    </xf>
    <xf numFmtId="164" fontId="0" fillId="0" borderId="49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132" xfId="0" applyBorder="1" applyAlignment="1">
      <alignment horizontal="center"/>
    </xf>
    <xf numFmtId="167" fontId="7" fillId="20" borderId="20" xfId="0" applyNumberFormat="1" applyFont="1" applyFill="1" applyBorder="1" applyAlignment="1">
      <alignment horizontal="center" vertical="center"/>
    </xf>
    <xf numFmtId="164" fontId="7" fillId="7" borderId="94" xfId="0" applyFont="1" applyFill="1" applyBorder="1" applyAlignment="1">
      <alignment horizontal="center" vertical="center"/>
    </xf>
    <xf numFmtId="164" fontId="0" fillId="0" borderId="58" xfId="0" applyBorder="1" applyAlignment="1">
      <alignment horizontal="center"/>
    </xf>
    <xf numFmtId="164" fontId="0" fillId="0" borderId="105" xfId="0" applyBorder="1" applyAlignment="1">
      <alignment horizontal="center"/>
    </xf>
    <xf numFmtId="164" fontId="7" fillId="7" borderId="155" xfId="0" applyFont="1" applyFill="1" applyBorder="1" applyAlignment="1">
      <alignment horizontal="center" vertical="center"/>
    </xf>
    <xf numFmtId="164" fontId="0" fillId="0" borderId="122" xfId="0" applyBorder="1" applyAlignment="1">
      <alignment horizontal="center"/>
    </xf>
    <xf numFmtId="167" fontId="0" fillId="0" borderId="123" xfId="0" applyNumberFormat="1" applyBorder="1" applyAlignment="1">
      <alignment horizontal="center"/>
    </xf>
    <xf numFmtId="164" fontId="0" fillId="0" borderId="127" xfId="0" applyBorder="1" applyAlignment="1">
      <alignment horizontal="center"/>
    </xf>
    <xf numFmtId="167" fontId="0" fillId="0" borderId="126" xfId="0" applyNumberFormat="1" applyBorder="1" applyAlignment="1">
      <alignment horizontal="center"/>
    </xf>
    <xf numFmtId="167" fontId="7" fillId="20" borderId="122" xfId="0" applyNumberFormat="1" applyFont="1" applyFill="1" applyBorder="1" applyAlignment="1">
      <alignment horizontal="center" vertical="center"/>
    </xf>
    <xf numFmtId="164" fontId="0" fillId="0" borderId="143" xfId="0" applyBorder="1" applyAlignment="1">
      <alignment/>
    </xf>
    <xf numFmtId="164" fontId="27" fillId="37" borderId="156" xfId="0" applyFont="1" applyFill="1" applyBorder="1" applyAlignment="1">
      <alignment/>
    </xf>
    <xf numFmtId="164" fontId="23" fillId="7" borderId="41" xfId="0" applyFont="1" applyFill="1" applyBorder="1" applyAlignment="1">
      <alignment horizontal="center" vertical="center"/>
    </xf>
    <xf numFmtId="164" fontId="23" fillId="0" borderId="105" xfId="0" applyFont="1" applyBorder="1" applyAlignment="1">
      <alignment horizontal="center" vertical="center"/>
    </xf>
    <xf numFmtId="164" fontId="7" fillId="7" borderId="47" xfId="0" applyFont="1" applyFill="1" applyBorder="1" applyAlignment="1">
      <alignment horizontal="center" vertical="center" wrapText="1"/>
    </xf>
    <xf numFmtId="164" fontId="26" fillId="7" borderId="41" xfId="0" applyFont="1" applyFill="1" applyBorder="1" applyAlignment="1">
      <alignment horizontal="center" vertical="center" wrapText="1"/>
    </xf>
    <xf numFmtId="164" fontId="0" fillId="7" borderId="26" xfId="0" applyFill="1" applyBorder="1" applyAlignment="1">
      <alignment horizontal="center"/>
    </xf>
    <xf numFmtId="167" fontId="0" fillId="7" borderId="69" xfId="0" applyNumberFormat="1" applyFill="1" applyBorder="1" applyAlignment="1">
      <alignment horizontal="center"/>
    </xf>
    <xf numFmtId="167" fontId="7" fillId="6" borderId="69" xfId="0" applyNumberFormat="1" applyFont="1" applyFill="1" applyBorder="1" applyAlignment="1">
      <alignment horizontal="center" vertical="center"/>
    </xf>
    <xf numFmtId="167" fontId="39" fillId="0" borderId="158" xfId="0" applyNumberFormat="1" applyFont="1" applyFill="1" applyBorder="1" applyAlignment="1">
      <alignment horizontal="center" vertical="center"/>
    </xf>
    <xf numFmtId="167" fontId="7" fillId="39" borderId="118" xfId="0" applyNumberFormat="1" applyFont="1" applyFill="1" applyBorder="1" applyAlignment="1">
      <alignment horizontal="center" vertical="center"/>
    </xf>
    <xf numFmtId="170" fontId="32" fillId="39" borderId="45" xfId="0" applyNumberFormat="1" applyFont="1" applyFill="1" applyBorder="1" applyAlignment="1">
      <alignment horizontal="center"/>
    </xf>
    <xf numFmtId="170" fontId="32" fillId="37" borderId="94" xfId="0" applyNumberFormat="1" applyFont="1" applyFill="1" applyBorder="1" applyAlignment="1">
      <alignment horizontal="center"/>
    </xf>
    <xf numFmtId="170" fontId="7" fillId="22" borderId="118" xfId="0" applyNumberFormat="1" applyFont="1" applyFill="1" applyBorder="1" applyAlignment="1">
      <alignment horizontal="center" vertical="center"/>
    </xf>
    <xf numFmtId="167" fontId="7" fillId="7" borderId="94" xfId="0" applyNumberFormat="1" applyFont="1" applyFill="1" applyBorder="1" applyAlignment="1">
      <alignment horizontal="center" vertical="center"/>
    </xf>
    <xf numFmtId="167" fontId="32" fillId="38" borderId="0" xfId="0" applyNumberFormat="1" applyFont="1" applyFill="1" applyBorder="1" applyAlignment="1">
      <alignment horizontal="center" vertical="center"/>
    </xf>
    <xf numFmtId="170" fontId="32" fillId="39" borderId="64" xfId="0" applyNumberFormat="1" applyFont="1" applyFill="1" applyBorder="1" applyAlignment="1">
      <alignment horizontal="center"/>
    </xf>
    <xf numFmtId="170" fontId="7" fillId="22" borderId="0" xfId="0" applyNumberFormat="1" applyFont="1" applyFill="1" applyBorder="1" applyAlignment="1">
      <alignment horizontal="center" vertical="center"/>
    </xf>
    <xf numFmtId="164" fontId="32" fillId="23" borderId="0" xfId="0" applyFont="1" applyFill="1" applyBorder="1" applyAlignment="1">
      <alignment horizontal="center"/>
    </xf>
    <xf numFmtId="170" fontId="32" fillId="6" borderId="0" xfId="0" applyNumberFormat="1" applyFont="1" applyFill="1" applyBorder="1" applyAlignment="1">
      <alignment horizontal="center"/>
    </xf>
    <xf numFmtId="164" fontId="23" fillId="7" borderId="41" xfId="0" applyFont="1" applyFill="1" applyBorder="1" applyAlignment="1">
      <alignment horizontal="center" vertical="center" wrapText="1"/>
    </xf>
    <xf numFmtId="167" fontId="0" fillId="0" borderId="53" xfId="0" applyNumberFormat="1" applyBorder="1" applyAlignment="1">
      <alignment horizontal="center"/>
    </xf>
    <xf numFmtId="167" fontId="0" fillId="0" borderId="87" xfId="0" applyNumberFormat="1" applyBorder="1" applyAlignment="1">
      <alignment horizontal="center"/>
    </xf>
    <xf numFmtId="167" fontId="7" fillId="20" borderId="119" xfId="0" applyNumberFormat="1" applyFont="1" applyFill="1" applyBorder="1" applyAlignment="1">
      <alignment horizontal="center" vertical="center"/>
    </xf>
    <xf numFmtId="164" fontId="23" fillId="0" borderId="41" xfId="0" applyFont="1" applyBorder="1" applyAlignment="1">
      <alignment horizontal="center" vertical="center" wrapText="1"/>
    </xf>
    <xf numFmtId="164" fontId="7" fillId="7" borderId="5" xfId="0" applyFont="1" applyFill="1" applyBorder="1" applyAlignment="1">
      <alignment horizontal="center" vertical="center" wrapText="1"/>
    </xf>
    <xf numFmtId="167" fontId="7" fillId="6" borderId="42" xfId="0" applyNumberFormat="1" applyFont="1" applyFill="1" applyBorder="1" applyAlignment="1">
      <alignment horizontal="center" vertical="center" wrapText="1"/>
    </xf>
    <xf numFmtId="164" fontId="0" fillId="0" borderId="41" xfId="0" applyBorder="1" applyAlignment="1">
      <alignment horizontal="center"/>
    </xf>
    <xf numFmtId="167" fontId="0" fillId="0" borderId="61" xfId="0" applyNumberFormat="1" applyBorder="1" applyAlignment="1">
      <alignment horizontal="center"/>
    </xf>
    <xf numFmtId="167" fontId="0" fillId="0" borderId="42" xfId="0" applyNumberFormat="1" applyBorder="1" applyAlignment="1">
      <alignment horizontal="center"/>
    </xf>
    <xf numFmtId="164" fontId="0" fillId="0" borderId="67" xfId="0" applyBorder="1" applyAlignment="1">
      <alignment horizontal="center"/>
    </xf>
    <xf numFmtId="167" fontId="7" fillId="20" borderId="41" xfId="0" applyNumberFormat="1" applyFont="1" applyFill="1" applyBorder="1" applyAlignment="1">
      <alignment horizontal="center" vertical="center"/>
    </xf>
    <xf numFmtId="167" fontId="7" fillId="6" borderId="5" xfId="0" applyNumberFormat="1" applyFont="1" applyFill="1" applyBorder="1" applyAlignment="1">
      <alignment horizontal="center" vertical="center"/>
    </xf>
    <xf numFmtId="167" fontId="32" fillId="38" borderId="5" xfId="0" applyNumberFormat="1" applyFont="1" applyFill="1" applyBorder="1" applyAlignment="1">
      <alignment horizontal="center" vertical="center"/>
    </xf>
    <xf numFmtId="170" fontId="32" fillId="39" borderId="61" xfId="0" applyNumberFormat="1" applyFont="1" applyFill="1" applyBorder="1" applyAlignment="1">
      <alignment horizontal="center"/>
    </xf>
    <xf numFmtId="164" fontId="23" fillId="7" borderId="41" xfId="0" applyFont="1" applyFill="1" applyBorder="1" applyAlignment="1">
      <alignment horizontal="center" wrapText="1"/>
    </xf>
    <xf numFmtId="164" fontId="7" fillId="7" borderId="5" xfId="0" applyFont="1" applyFill="1" applyBorder="1" applyAlignment="1">
      <alignment horizontal="center" vertical="center"/>
    </xf>
    <xf numFmtId="167" fontId="7" fillId="20" borderId="105" xfId="0" applyNumberFormat="1" applyFont="1" applyFill="1" applyBorder="1" applyAlignment="1">
      <alignment horizontal="center" vertical="center"/>
    </xf>
    <xf numFmtId="183" fontId="7" fillId="24" borderId="5" xfId="0" applyNumberFormat="1" applyFont="1" applyFill="1" applyBorder="1" applyAlignment="1">
      <alignment horizontal="center" vertical="center"/>
    </xf>
    <xf numFmtId="164" fontId="23" fillId="7" borderId="41" xfId="0" applyFont="1" applyFill="1" applyBorder="1" applyAlignment="1">
      <alignment horizontal="center"/>
    </xf>
    <xf numFmtId="167" fontId="7" fillId="20" borderId="51" xfId="0" applyNumberFormat="1" applyFont="1" applyFill="1" applyBorder="1" applyAlignment="1">
      <alignment horizontal="center" vertical="center"/>
    </xf>
    <xf numFmtId="183" fontId="7" fillId="6" borderId="59" xfId="0" applyNumberFormat="1" applyFont="1" applyFill="1" applyBorder="1" applyAlignment="1">
      <alignment horizontal="center" vertical="center"/>
    </xf>
    <xf numFmtId="167" fontId="7" fillId="22" borderId="59" xfId="0" applyNumberFormat="1" applyFont="1" applyFill="1" applyBorder="1" applyAlignment="1">
      <alignment horizontal="center" vertical="center"/>
    </xf>
    <xf numFmtId="167" fontId="32" fillId="38" borderId="59" xfId="0" applyNumberFormat="1" applyFont="1" applyFill="1" applyBorder="1" applyAlignment="1">
      <alignment horizontal="center" vertical="center"/>
    </xf>
    <xf numFmtId="170" fontId="32" fillId="39" borderId="60" xfId="0" applyNumberFormat="1" applyFont="1" applyFill="1" applyBorder="1" applyAlignment="1">
      <alignment horizontal="center"/>
    </xf>
    <xf numFmtId="164" fontId="23" fillId="0" borderId="41" xfId="0" applyFont="1" applyFill="1" applyBorder="1" applyAlignment="1">
      <alignment horizontal="center" vertical="center" wrapText="1"/>
    </xf>
    <xf numFmtId="164" fontId="7" fillId="0" borderId="5" xfId="0" applyFont="1" applyBorder="1" applyAlignment="1">
      <alignment horizontal="center" vertical="center" wrapText="1"/>
    </xf>
    <xf numFmtId="183" fontId="7" fillId="16" borderId="67" xfId="0" applyNumberFormat="1" applyFont="1" applyFill="1" applyBorder="1" applyAlignment="1">
      <alignment horizontal="center" vertical="center"/>
    </xf>
    <xf numFmtId="164" fontId="7" fillId="0" borderId="10" xfId="0" applyFont="1" applyBorder="1" applyAlignment="1">
      <alignment horizontal="center" vertical="center" wrapText="1"/>
    </xf>
    <xf numFmtId="183" fontId="7" fillId="16" borderId="137" xfId="0" applyNumberFormat="1" applyFont="1" applyFill="1" applyBorder="1" applyAlignment="1">
      <alignment horizontal="center" vertical="center"/>
    </xf>
    <xf numFmtId="183" fontId="7" fillId="16" borderId="91" xfId="0" applyNumberFormat="1" applyFont="1" applyFill="1" applyBorder="1" applyAlignment="1">
      <alignment horizontal="center" vertical="center"/>
    </xf>
    <xf numFmtId="164" fontId="23" fillId="0" borderId="105" xfId="0" applyFont="1" applyBorder="1" applyAlignment="1">
      <alignment horizontal="center" vertical="center" wrapText="1"/>
    </xf>
    <xf numFmtId="167" fontId="7" fillId="6" borderId="10" xfId="0" applyNumberFormat="1" applyFont="1" applyFill="1" applyBorder="1" applyAlignment="1">
      <alignment horizontal="center" vertical="center" wrapText="1"/>
    </xf>
    <xf numFmtId="164" fontId="0" fillId="0" borderId="10" xfId="0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7" fillId="20" borderId="10" xfId="0" applyNumberFormat="1" applyFont="1" applyFill="1" applyBorder="1" applyAlignment="1">
      <alignment horizontal="center" vertical="center"/>
    </xf>
    <xf numFmtId="183" fontId="7" fillId="6" borderId="5" xfId="0" applyNumberFormat="1" applyFont="1" applyFill="1" applyBorder="1" applyAlignment="1">
      <alignment horizontal="center" vertical="center"/>
    </xf>
    <xf numFmtId="164" fontId="0" fillId="0" borderId="50" xfId="0" applyBorder="1" applyAlignment="1">
      <alignment horizontal="center"/>
    </xf>
    <xf numFmtId="167" fontId="0" fillId="0" borderId="50" xfId="0" applyNumberFormat="1" applyBorder="1" applyAlignment="1">
      <alignment horizontal="center"/>
    </xf>
    <xf numFmtId="167" fontId="7" fillId="20" borderId="50" xfId="0" applyNumberFormat="1" applyFont="1" applyFill="1" applyBorder="1" applyAlignment="1">
      <alignment horizontal="center" vertical="center"/>
    </xf>
    <xf numFmtId="164" fontId="0" fillId="0" borderId="47" xfId="0" applyBorder="1" applyAlignment="1">
      <alignment horizontal="center"/>
    </xf>
    <xf numFmtId="167" fontId="0" fillId="0" borderId="47" xfId="0" applyNumberFormat="1" applyBorder="1" applyAlignment="1">
      <alignment horizontal="center"/>
    </xf>
    <xf numFmtId="167" fontId="7" fillId="20" borderId="47" xfId="0" applyNumberFormat="1" applyFont="1" applyFill="1" applyBorder="1" applyAlignment="1">
      <alignment horizontal="center" vertical="center"/>
    </xf>
    <xf numFmtId="164" fontId="0" fillId="0" borderId="27" xfId="0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7" fillId="20" borderId="27" xfId="0" applyNumberFormat="1" applyFont="1" applyFill="1" applyBorder="1" applyAlignment="1">
      <alignment horizontal="center" vertical="center"/>
    </xf>
    <xf numFmtId="167" fontId="7" fillId="6" borderId="34" xfId="0" applyNumberFormat="1" applyFont="1" applyFill="1" applyBorder="1" applyAlignment="1">
      <alignment horizontal="center" vertical="center" wrapText="1"/>
    </xf>
    <xf numFmtId="164" fontId="0" fillId="0" borderId="34" xfId="0" applyBorder="1" applyAlignment="1">
      <alignment horizontal="center"/>
    </xf>
    <xf numFmtId="167" fontId="0" fillId="0" borderId="34" xfId="0" applyNumberFormat="1" applyBorder="1" applyAlignment="1">
      <alignment horizontal="center"/>
    </xf>
    <xf numFmtId="167" fontId="7" fillId="20" borderId="34" xfId="0" applyNumberFormat="1" applyFont="1" applyFill="1" applyBorder="1" applyAlignment="1">
      <alignment horizontal="center" vertical="center"/>
    </xf>
    <xf numFmtId="167" fontId="7" fillId="6" borderId="61" xfId="0" applyNumberFormat="1" applyFont="1" applyFill="1" applyBorder="1" applyAlignment="1">
      <alignment horizontal="center" vertical="center" wrapText="1"/>
    </xf>
    <xf numFmtId="164" fontId="0" fillId="0" borderId="51" xfId="0" applyBorder="1" applyAlignment="1">
      <alignment horizontal="center"/>
    </xf>
    <xf numFmtId="167" fontId="0" fillId="0" borderId="60" xfId="0" applyNumberFormat="1" applyBorder="1" applyAlignment="1">
      <alignment horizontal="center"/>
    </xf>
    <xf numFmtId="167" fontId="0" fillId="0" borderId="140" xfId="0" applyNumberFormat="1" applyBorder="1" applyAlignment="1">
      <alignment horizontal="center"/>
    </xf>
    <xf numFmtId="164" fontId="0" fillId="0" borderId="139" xfId="0" applyBorder="1" applyAlignment="1">
      <alignment horizontal="center"/>
    </xf>
    <xf numFmtId="183" fontId="7" fillId="16" borderId="139" xfId="0" applyNumberFormat="1" applyFont="1" applyFill="1" applyBorder="1" applyAlignment="1">
      <alignment horizontal="center" vertical="center"/>
    </xf>
    <xf numFmtId="164" fontId="7" fillId="0" borderId="59" xfId="0" applyFont="1" applyBorder="1" applyAlignment="1">
      <alignment horizontal="center" vertical="center" wrapText="1"/>
    </xf>
    <xf numFmtId="183" fontId="7" fillId="24" borderId="139" xfId="0" applyNumberFormat="1" applyFont="1" applyFill="1" applyBorder="1" applyAlignment="1">
      <alignment horizontal="center" vertical="center"/>
    </xf>
    <xf numFmtId="164" fontId="32" fillId="38" borderId="24" xfId="0" applyFont="1" applyFill="1" applyBorder="1" applyAlignment="1">
      <alignment horizontal="center" vertical="center" wrapText="1"/>
    </xf>
    <xf numFmtId="164" fontId="41" fillId="41" borderId="24" xfId="0" applyFont="1" applyFill="1" applyBorder="1" applyAlignment="1">
      <alignment horizontal="center" vertical="center"/>
    </xf>
    <xf numFmtId="164" fontId="41" fillId="41" borderId="25" xfId="0" applyFont="1" applyFill="1" applyBorder="1" applyAlignment="1">
      <alignment horizontal="center" vertical="center"/>
    </xf>
    <xf numFmtId="177" fontId="32" fillId="38" borderId="51" xfId="0" applyNumberFormat="1" applyFont="1" applyFill="1" applyBorder="1" applyAlignment="1">
      <alignment horizontal="center" vertical="center"/>
    </xf>
    <xf numFmtId="181" fontId="42" fillId="38" borderId="60" xfId="0" applyNumberFormat="1" applyFont="1" applyFill="1" applyBorder="1" applyAlignment="1">
      <alignment horizontal="center" vertical="center"/>
    </xf>
    <xf numFmtId="167" fontId="42" fillId="42" borderId="51" xfId="0" applyNumberFormat="1" applyFont="1" applyFill="1" applyBorder="1" applyAlignment="1">
      <alignment horizontal="center" vertical="center"/>
    </xf>
    <xf numFmtId="167" fontId="42" fillId="50" borderId="139" xfId="0" applyNumberFormat="1" applyFont="1" applyFill="1" applyBorder="1" applyAlignment="1">
      <alignment horizontal="center" vertical="center"/>
    </xf>
    <xf numFmtId="164" fontId="0" fillId="0" borderId="0" xfId="0" applyAlignment="1">
      <alignment vertical="center" readingOrder="1"/>
    </xf>
    <xf numFmtId="164" fontId="31" fillId="0" borderId="0" xfId="0" applyFont="1" applyAlignment="1">
      <alignment vertical="center" readingOrder="1"/>
    </xf>
    <xf numFmtId="164" fontId="20" fillId="0" borderId="58" xfId="0" applyFont="1" applyBorder="1" applyAlignment="1">
      <alignment horizontal="center" readingOrder="1"/>
    </xf>
    <xf numFmtId="164" fontId="22" fillId="9" borderId="37" xfId="0" applyFont="1" applyFill="1" applyBorder="1" applyAlignment="1">
      <alignment vertical="center" wrapText="1" readingOrder="1"/>
    </xf>
    <xf numFmtId="164" fontId="36" fillId="3" borderId="16" xfId="0" applyFont="1" applyFill="1" applyBorder="1" applyAlignment="1">
      <alignment horizontal="center" vertical="center" wrapText="1"/>
    </xf>
    <xf numFmtId="164" fontId="36" fillId="37" borderId="88" xfId="0" applyFont="1" applyFill="1" applyBorder="1" applyAlignment="1">
      <alignment horizontal="center" vertical="center" wrapText="1"/>
    </xf>
    <xf numFmtId="167" fontId="34" fillId="22" borderId="106" xfId="0" applyNumberFormat="1" applyFont="1" applyFill="1" applyBorder="1" applyAlignment="1">
      <alignment horizontal="center" vertical="center" wrapText="1"/>
    </xf>
    <xf numFmtId="164" fontId="30" fillId="0" borderId="4" xfId="0" applyFont="1" applyBorder="1" applyAlignment="1">
      <alignment vertical="center" textRotation="90" shrinkToFit="1"/>
    </xf>
    <xf numFmtId="184" fontId="30" fillId="51" borderId="0" xfId="0" applyNumberFormat="1" applyFont="1" applyFill="1" applyBorder="1" applyAlignment="1">
      <alignment shrinkToFit="1" readingOrder="1"/>
    </xf>
    <xf numFmtId="164" fontId="44" fillId="0" borderId="111" xfId="0" applyFont="1" applyFill="1" applyBorder="1" applyAlignment="1">
      <alignment horizontal="center" vertical="center" wrapText="1"/>
    </xf>
    <xf numFmtId="169" fontId="7" fillId="24" borderId="135" xfId="0" applyNumberFormat="1" applyFont="1" applyFill="1" applyBorder="1" applyAlignment="1">
      <alignment horizontal="center" vertical="center"/>
    </xf>
    <xf numFmtId="170" fontId="7" fillId="22" borderId="135" xfId="0" applyNumberFormat="1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84" fontId="30" fillId="0" borderId="0" xfId="0" applyNumberFormat="1" applyFont="1" applyBorder="1" applyAlignment="1">
      <alignment shrinkToFit="1" readingOrder="1"/>
    </xf>
    <xf numFmtId="164" fontId="7" fillId="0" borderId="31" xfId="0" applyFont="1" applyBorder="1" applyAlignment="1">
      <alignment horizontal="center" vertical="center"/>
    </xf>
    <xf numFmtId="169" fontId="7" fillId="24" borderId="24" xfId="0" applyNumberFormat="1" applyFont="1" applyFill="1" applyBorder="1" applyAlignment="1">
      <alignment horizontal="center" vertical="center"/>
    </xf>
    <xf numFmtId="164" fontId="32" fillId="37" borderId="107" xfId="0" applyFont="1" applyFill="1" applyBorder="1" applyAlignment="1">
      <alignment horizontal="center"/>
    </xf>
    <xf numFmtId="169" fontId="7" fillId="37" borderId="96" xfId="0" applyNumberFormat="1" applyFont="1" applyFill="1" applyBorder="1" applyAlignment="1">
      <alignment horizontal="center" vertical="center"/>
    </xf>
    <xf numFmtId="164" fontId="32" fillId="3" borderId="97" xfId="0" applyFont="1" applyFill="1" applyBorder="1" applyAlignment="1">
      <alignment horizontal="center" vertical="center"/>
    </xf>
    <xf numFmtId="164" fontId="32" fillId="23" borderId="31" xfId="0" applyFont="1" applyFill="1" applyBorder="1" applyAlignment="1">
      <alignment horizontal="center"/>
    </xf>
    <xf numFmtId="169" fontId="7" fillId="37" borderId="21" xfId="0" applyNumberFormat="1" applyFont="1" applyFill="1" applyBorder="1" applyAlignment="1">
      <alignment horizontal="center" vertical="center"/>
    </xf>
    <xf numFmtId="164" fontId="32" fillId="3" borderId="98" xfId="0" applyFont="1" applyFill="1" applyBorder="1" applyAlignment="1">
      <alignment horizontal="center" vertical="center"/>
    </xf>
    <xf numFmtId="164" fontId="45" fillId="7" borderId="52" xfId="0" applyFont="1" applyFill="1" applyBorder="1" applyAlignment="1">
      <alignment horizontal="center" vertical="center" wrapText="1"/>
    </xf>
    <xf numFmtId="164" fontId="7" fillId="51" borderId="44" xfId="0" applyFont="1" applyFill="1" applyBorder="1" applyAlignment="1">
      <alignment horizontal="center" vertical="center"/>
    </xf>
    <xf numFmtId="167" fontId="4" fillId="9" borderId="44" xfId="0" applyNumberFormat="1" applyFont="1" applyFill="1" applyBorder="1" applyAlignment="1">
      <alignment horizontal="center" vertical="center" wrapText="1"/>
    </xf>
    <xf numFmtId="164" fontId="45" fillId="7" borderId="54" xfId="0" applyFont="1" applyFill="1" applyBorder="1" applyAlignment="1">
      <alignment horizontal="center" vertical="center" wrapText="1"/>
    </xf>
    <xf numFmtId="164" fontId="7" fillId="51" borderId="45" xfId="0" applyFont="1" applyFill="1" applyBorder="1" applyAlignment="1">
      <alignment horizontal="center" vertical="center"/>
    </xf>
    <xf numFmtId="167" fontId="4" fillId="9" borderId="45" xfId="0" applyNumberFormat="1" applyFont="1" applyFill="1" applyBorder="1" applyAlignment="1">
      <alignment horizontal="center" vertical="center" wrapText="1"/>
    </xf>
    <xf numFmtId="183" fontId="7" fillId="16" borderId="47" xfId="0" applyNumberFormat="1" applyFont="1" applyFill="1" applyBorder="1" applyAlignment="1">
      <alignment horizontal="center" vertical="center"/>
    </xf>
    <xf numFmtId="183" fontId="7" fillId="16" borderId="50" xfId="0" applyNumberFormat="1" applyFont="1" applyFill="1" applyBorder="1" applyAlignment="1">
      <alignment horizontal="center" vertical="center"/>
    </xf>
    <xf numFmtId="164" fontId="45" fillId="7" borderId="55" xfId="0" applyFont="1" applyFill="1" applyBorder="1" applyAlignment="1">
      <alignment horizontal="center" vertical="center" wrapText="1"/>
    </xf>
    <xf numFmtId="164" fontId="7" fillId="51" borderId="46" xfId="0" applyFont="1" applyFill="1" applyBorder="1" applyAlignment="1">
      <alignment horizontal="center" vertical="center"/>
    </xf>
    <xf numFmtId="167" fontId="4" fillId="9" borderId="46" xfId="0" applyNumberFormat="1" applyFont="1" applyFill="1" applyBorder="1" applyAlignment="1">
      <alignment horizontal="center" vertical="center" wrapText="1"/>
    </xf>
    <xf numFmtId="183" fontId="7" fillId="16" borderId="21" xfId="0" applyNumberFormat="1" applyFont="1" applyFill="1" applyBorder="1" applyAlignment="1">
      <alignment horizontal="center" vertical="center"/>
    </xf>
    <xf numFmtId="167" fontId="7" fillId="37" borderId="143" xfId="0" applyNumberFormat="1" applyFont="1" applyFill="1" applyBorder="1" applyAlignment="1">
      <alignment horizontal="center" vertical="center"/>
    </xf>
    <xf numFmtId="164" fontId="45" fillId="7" borderId="57" xfId="0" applyFont="1" applyFill="1" applyBorder="1" applyAlignment="1">
      <alignment horizontal="center" vertical="center" wrapText="1"/>
    </xf>
    <xf numFmtId="167" fontId="4" fillId="9" borderId="48" xfId="0" applyNumberFormat="1" applyFont="1" applyFill="1" applyBorder="1" applyAlignment="1">
      <alignment horizontal="center" vertical="center" wrapText="1"/>
    </xf>
    <xf numFmtId="164" fontId="44" fillId="0" borderId="27" xfId="0" applyFont="1" applyBorder="1" applyAlignment="1">
      <alignment horizontal="center" vertical="center" wrapText="1"/>
    </xf>
    <xf numFmtId="164" fontId="30" fillId="0" borderId="49" xfId="0" applyFont="1" applyBorder="1" applyAlignment="1">
      <alignment horizontal="center" vertical="center" textRotation="90" wrapText="1"/>
    </xf>
    <xf numFmtId="164" fontId="44" fillId="0" borderId="66" xfId="0" applyFont="1" applyBorder="1" applyAlignment="1">
      <alignment horizontal="center" vertical="center"/>
    </xf>
    <xf numFmtId="164" fontId="0" fillId="0" borderId="143" xfId="0" applyBorder="1" applyAlignment="1">
      <alignment vertical="center"/>
    </xf>
    <xf numFmtId="164" fontId="44" fillId="0" borderId="96" xfId="0" applyFont="1" applyBorder="1" applyAlignment="1">
      <alignment horizontal="center" vertical="center"/>
    </xf>
    <xf numFmtId="164" fontId="30" fillId="0" borderId="22" xfId="0" applyFont="1" applyBorder="1" applyAlignment="1">
      <alignment horizontal="center" vertical="center" textRotation="90" wrapText="1"/>
    </xf>
    <xf numFmtId="164" fontId="30" fillId="0" borderId="159" xfId="0" applyFont="1" applyBorder="1" applyAlignment="1">
      <alignment horizontal="center" vertical="center" textRotation="90" wrapText="1"/>
    </xf>
    <xf numFmtId="184" fontId="30" fillId="51" borderId="142" xfId="0" applyNumberFormat="1" applyFont="1" applyFill="1" applyBorder="1" applyAlignment="1">
      <alignment wrapText="1" readingOrder="1"/>
    </xf>
    <xf numFmtId="184" fontId="30" fillId="0" borderId="142" xfId="0" applyNumberFormat="1" applyFont="1" applyBorder="1" applyAlignment="1">
      <alignment wrapText="1" readingOrder="1"/>
    </xf>
    <xf numFmtId="164" fontId="44" fillId="0" borderId="23" xfId="0" applyFont="1" applyFill="1" applyBorder="1" applyAlignment="1">
      <alignment horizontal="center" vertical="center"/>
    </xf>
    <xf numFmtId="164" fontId="7" fillId="0" borderId="63" xfId="0" applyFont="1" applyBorder="1" applyAlignment="1">
      <alignment horizontal="center" vertical="center" wrapText="1"/>
    </xf>
    <xf numFmtId="167" fontId="7" fillId="37" borderId="130" xfId="0" applyNumberFormat="1" applyFont="1" applyFill="1" applyBorder="1" applyAlignment="1">
      <alignment horizontal="center" vertical="center"/>
    </xf>
    <xf numFmtId="164" fontId="44" fillId="0" borderId="108" xfId="0" applyFont="1" applyBorder="1" applyAlignment="1">
      <alignment horizontal="center" vertical="center"/>
    </xf>
    <xf numFmtId="164" fontId="44" fillId="0" borderId="49" xfId="0" applyFont="1" applyBorder="1" applyAlignment="1">
      <alignment horizontal="center" vertical="center"/>
    </xf>
    <xf numFmtId="164" fontId="44" fillId="0" borderId="23" xfId="0" applyFont="1" applyBorder="1" applyAlignment="1">
      <alignment horizontal="center" vertical="center"/>
    </xf>
    <xf numFmtId="164" fontId="44" fillId="0" borderId="101" xfId="0" applyFont="1" applyBorder="1" applyAlignment="1">
      <alignment horizontal="center" vertical="center" wrapText="1"/>
    </xf>
    <xf numFmtId="164" fontId="44" fillId="0" borderId="9" xfId="0" applyFont="1" applyBorder="1" applyAlignment="1">
      <alignment horizontal="center" vertical="center"/>
    </xf>
    <xf numFmtId="167" fontId="32" fillId="38" borderId="102" xfId="0" applyNumberFormat="1" applyFont="1" applyFill="1" applyBorder="1" applyAlignment="1">
      <alignment horizontal="center" vertical="center"/>
    </xf>
    <xf numFmtId="170" fontId="32" fillId="39" borderId="103" xfId="0" applyNumberFormat="1" applyFont="1" applyFill="1" applyBorder="1" applyAlignment="1">
      <alignment horizontal="center"/>
    </xf>
    <xf numFmtId="164" fontId="44" fillId="0" borderId="119" xfId="0" applyFont="1" applyFill="1" applyBorder="1" applyAlignment="1">
      <alignment horizontal="center" vertical="center" wrapText="1"/>
    </xf>
    <xf numFmtId="164" fontId="44" fillId="0" borderId="16" xfId="0" applyFont="1" applyFill="1" applyBorder="1" applyAlignment="1">
      <alignment horizontal="center" vertical="center" wrapText="1"/>
    </xf>
    <xf numFmtId="184" fontId="30" fillId="0" borderId="3" xfId="0" applyNumberFormat="1" applyFont="1" applyBorder="1" applyAlignment="1">
      <alignment wrapText="1" readingOrder="1"/>
    </xf>
    <xf numFmtId="184" fontId="30" fillId="0" borderId="22" xfId="0" applyNumberFormat="1" applyFont="1" applyBorder="1" applyAlignment="1">
      <alignment wrapText="1" readingOrder="1"/>
    </xf>
    <xf numFmtId="184" fontId="30" fillId="0" borderId="4" xfId="0" applyNumberFormat="1" applyFont="1" applyBorder="1" applyAlignment="1">
      <alignment wrapText="1" readingOrder="1"/>
    </xf>
    <xf numFmtId="164" fontId="44" fillId="0" borderId="17" xfId="0" applyFont="1" applyBorder="1" applyAlignment="1">
      <alignment horizontal="center" vertical="center" wrapText="1"/>
    </xf>
    <xf numFmtId="169" fontId="7" fillId="37" borderId="135" xfId="0" applyNumberFormat="1" applyFont="1" applyFill="1" applyBorder="1" applyAlignment="1">
      <alignment horizontal="center" vertical="center"/>
    </xf>
    <xf numFmtId="184" fontId="30" fillId="0" borderId="0" xfId="0" applyNumberFormat="1" applyFont="1" applyBorder="1" applyAlignment="1">
      <alignment wrapText="1" readingOrder="1"/>
    </xf>
    <xf numFmtId="164" fontId="32" fillId="23" borderId="24" xfId="0" applyFont="1" applyFill="1" applyBorder="1" applyAlignment="1">
      <alignment horizontal="center"/>
    </xf>
    <xf numFmtId="164" fontId="44" fillId="7" borderId="27" xfId="0" applyFont="1" applyFill="1" applyBorder="1" applyAlignment="1">
      <alignment horizontal="center" vertical="center" wrapText="1"/>
    </xf>
    <xf numFmtId="184" fontId="30" fillId="0" borderId="1" xfId="0" applyNumberFormat="1" applyFont="1" applyBorder="1" applyAlignment="1">
      <alignment wrapText="1" readingOrder="1"/>
    </xf>
    <xf numFmtId="164" fontId="30" fillId="0" borderId="71" xfId="0" applyFont="1" applyBorder="1" applyAlignment="1">
      <alignment horizontal="center" vertical="center" textRotation="90" wrapText="1"/>
    </xf>
    <xf numFmtId="164" fontId="44" fillId="0" borderId="10" xfId="0" applyFont="1" applyFill="1" applyBorder="1" applyAlignment="1">
      <alignment horizontal="center" vertical="center"/>
    </xf>
    <xf numFmtId="164" fontId="27" fillId="0" borderId="10" xfId="0" applyFont="1" applyBorder="1" applyAlignment="1">
      <alignment horizontal="center" vertical="center"/>
    </xf>
    <xf numFmtId="164" fontId="44" fillId="0" borderId="31" xfId="0" applyFont="1" applyFill="1" applyBorder="1" applyAlignment="1">
      <alignment horizontal="center" vertical="center"/>
    </xf>
    <xf numFmtId="184" fontId="30" fillId="0" borderId="143" xfId="0" applyNumberFormat="1" applyFont="1" applyBorder="1" applyAlignment="1">
      <alignment wrapText="1" readingOrder="1"/>
    </xf>
    <xf numFmtId="184" fontId="37" fillId="0" borderId="141" xfId="0" applyNumberFormat="1" applyFont="1" applyBorder="1" applyAlignment="1">
      <alignment wrapText="1" readingOrder="1"/>
    </xf>
    <xf numFmtId="170" fontId="7" fillId="45" borderId="135" xfId="0" applyNumberFormat="1" applyFont="1" applyFill="1" applyBorder="1" applyAlignment="1">
      <alignment horizontal="center" vertical="center"/>
    </xf>
    <xf numFmtId="184" fontId="37" fillId="0" borderId="0" xfId="0" applyNumberFormat="1" applyFont="1" applyBorder="1" applyAlignment="1">
      <alignment wrapText="1" readingOrder="1"/>
    </xf>
    <xf numFmtId="184" fontId="37" fillId="0" borderId="143" xfId="0" applyNumberFormat="1" applyFont="1" applyBorder="1" applyAlignment="1">
      <alignment wrapText="1" readingOrder="1"/>
    </xf>
    <xf numFmtId="180" fontId="7" fillId="7" borderId="34" xfId="0" applyNumberFormat="1" applyFont="1" applyFill="1" applyBorder="1" applyAlignment="1">
      <alignment horizontal="center" vertical="center"/>
    </xf>
    <xf numFmtId="169" fontId="7" fillId="37" borderId="91" xfId="0" applyNumberFormat="1" applyFont="1" applyFill="1" applyBorder="1" applyAlignment="1">
      <alignment horizontal="center" vertical="center"/>
    </xf>
    <xf numFmtId="184" fontId="0" fillId="0" borderId="1" xfId="0" applyNumberFormat="1" applyBorder="1" applyAlignment="1">
      <alignment readingOrder="1"/>
    </xf>
    <xf numFmtId="170" fontId="32" fillId="39" borderId="24" xfId="0" applyNumberFormat="1" applyFont="1" applyFill="1" applyBorder="1" applyAlignment="1">
      <alignment horizontal="center"/>
    </xf>
    <xf numFmtId="167" fontId="42" fillId="47" borderId="98" xfId="0" applyNumberFormat="1" applyFont="1" applyFill="1" applyBorder="1" applyAlignment="1">
      <alignment horizontal="center" vertical="center"/>
    </xf>
    <xf numFmtId="164" fontId="20" fillId="0" borderId="4" xfId="0" applyFont="1" applyBorder="1" applyAlignment="1">
      <alignment/>
    </xf>
    <xf numFmtId="164" fontId="32" fillId="20" borderId="100" xfId="0" applyFont="1" applyFill="1" applyBorder="1" applyAlignment="1">
      <alignment horizontal="center" vertical="center"/>
    </xf>
    <xf numFmtId="178" fontId="32" fillId="20" borderId="87" xfId="0" applyNumberFormat="1" applyFont="1" applyFill="1" applyBorder="1" applyAlignment="1">
      <alignment horizontal="center" vertical="center"/>
    </xf>
    <xf numFmtId="178" fontId="32" fillId="20" borderId="53" xfId="0" applyNumberFormat="1" applyFont="1" applyFill="1" applyBorder="1" applyAlignment="1">
      <alignment horizontal="center" vertical="center"/>
    </xf>
    <xf numFmtId="164" fontId="22" fillId="20" borderId="41" xfId="0" applyFont="1" applyFill="1" applyBorder="1" applyAlignment="1">
      <alignment horizontal="center" vertical="center" wrapText="1"/>
    </xf>
    <xf numFmtId="164" fontId="22" fillId="20" borderId="5" xfId="0" applyFont="1" applyFill="1" applyBorder="1" applyAlignment="1">
      <alignment horizontal="center" vertical="center"/>
    </xf>
    <xf numFmtId="164" fontId="22" fillId="20" borderId="5" xfId="0" applyFont="1" applyFill="1" applyBorder="1" applyAlignment="1">
      <alignment horizontal="center" vertical="center" wrapText="1"/>
    </xf>
    <xf numFmtId="164" fontId="33" fillId="0" borderId="5" xfId="0" applyFont="1" applyBorder="1" applyAlignment="1">
      <alignment horizontal="center" vertical="center" wrapText="1"/>
    </xf>
    <xf numFmtId="167" fontId="33" fillId="0" borderId="5" xfId="0" applyNumberFormat="1" applyFont="1" applyBorder="1" applyAlignment="1">
      <alignment horizontal="center" vertical="center" wrapText="1"/>
    </xf>
    <xf numFmtId="167" fontId="34" fillId="20" borderId="5" xfId="0" applyNumberFormat="1" applyFont="1" applyFill="1" applyBorder="1" applyAlignment="1">
      <alignment horizontal="center" vertical="center" wrapText="1"/>
    </xf>
    <xf numFmtId="167" fontId="34" fillId="37" borderId="5" xfId="0" applyNumberFormat="1" applyFont="1" applyFill="1" applyBorder="1" applyAlignment="1">
      <alignment horizontal="center" vertical="center" wrapText="1"/>
    </xf>
    <xf numFmtId="167" fontId="34" fillId="22" borderId="5" xfId="0" applyNumberFormat="1" applyFont="1" applyFill="1" applyBorder="1" applyAlignment="1">
      <alignment horizontal="center" vertical="center" wrapText="1"/>
    </xf>
    <xf numFmtId="167" fontId="34" fillId="6" borderId="5" xfId="0" applyNumberFormat="1" applyFont="1" applyFill="1" applyBorder="1" applyAlignment="1">
      <alignment horizontal="center" vertical="center" wrapText="1"/>
    </xf>
    <xf numFmtId="164" fontId="35" fillId="38" borderId="5" xfId="0" applyFont="1" applyFill="1" applyBorder="1" applyAlignment="1">
      <alignment horizontal="center" vertical="center" wrapText="1"/>
    </xf>
    <xf numFmtId="164" fontId="35" fillId="39" borderId="61" xfId="0" applyFont="1" applyFill="1" applyBorder="1" applyAlignment="1">
      <alignment horizontal="center" vertical="center" wrapText="1"/>
    </xf>
    <xf numFmtId="164" fontId="35" fillId="19" borderId="61" xfId="0" applyFont="1" applyFill="1" applyBorder="1" applyAlignment="1">
      <alignment horizontal="center" vertical="center" wrapText="1"/>
    </xf>
    <xf numFmtId="164" fontId="35" fillId="6" borderId="61" xfId="0" applyFont="1" applyFill="1" applyBorder="1" applyAlignment="1">
      <alignment horizontal="center" vertical="center" wrapText="1"/>
    </xf>
    <xf numFmtId="164" fontId="46" fillId="0" borderId="41" xfId="0" applyFont="1" applyFill="1" applyBorder="1" applyAlignment="1">
      <alignment horizontal="center" vertical="center" wrapText="1"/>
    </xf>
    <xf numFmtId="164" fontId="7" fillId="0" borderId="100" xfId="0" applyFont="1" applyBorder="1" applyAlignment="1">
      <alignment horizontal="center" vertical="center"/>
    </xf>
    <xf numFmtId="167" fontId="39" fillId="20" borderId="87" xfId="0" applyNumberFormat="1" applyFont="1" applyFill="1" applyBorder="1" applyAlignment="1">
      <alignment horizontal="center" vertical="center"/>
    </xf>
    <xf numFmtId="164" fontId="7" fillId="7" borderId="100" xfId="0" applyFont="1" applyFill="1" applyBorder="1" applyAlignment="1">
      <alignment horizontal="center" vertical="center"/>
    </xf>
    <xf numFmtId="167" fontId="7" fillId="7" borderId="100" xfId="0" applyNumberFormat="1" applyFont="1" applyFill="1" applyBorder="1" applyAlignment="1">
      <alignment horizontal="center" vertical="center"/>
    </xf>
    <xf numFmtId="169" fontId="7" fillId="2" borderId="135" xfId="0" applyNumberFormat="1" applyFont="1" applyFill="1" applyBorder="1" applyAlignment="1">
      <alignment horizontal="center" vertical="center"/>
    </xf>
    <xf numFmtId="164" fontId="14" fillId="19" borderId="85" xfId="0" applyFont="1" applyFill="1" applyBorder="1" applyAlignment="1">
      <alignment horizontal="center"/>
    </xf>
    <xf numFmtId="170" fontId="14" fillId="6" borderId="85" xfId="0" applyNumberFormat="1" applyFont="1" applyFill="1" applyBorder="1" applyAlignment="1">
      <alignment horizontal="center"/>
    </xf>
    <xf numFmtId="167" fontId="39" fillId="20" borderId="92" xfId="0" applyNumberFormat="1" applyFont="1" applyFill="1" applyBorder="1" applyAlignment="1">
      <alignment horizontal="center" vertical="center"/>
    </xf>
    <xf numFmtId="167" fontId="7" fillId="7" borderId="50" xfId="0" applyNumberFormat="1" applyFont="1" applyFill="1" applyBorder="1" applyAlignment="1">
      <alignment horizontal="center" vertical="center"/>
    </xf>
    <xf numFmtId="169" fontId="7" fillId="2" borderId="97" xfId="0" applyNumberFormat="1" applyFont="1" applyFill="1" applyBorder="1" applyAlignment="1">
      <alignment horizontal="center" vertical="center"/>
    </xf>
    <xf numFmtId="164" fontId="14" fillId="19" borderId="160" xfId="0" applyFont="1" applyFill="1" applyBorder="1" applyAlignment="1">
      <alignment horizontal="center"/>
    </xf>
    <xf numFmtId="167" fontId="39" fillId="20" borderId="45" xfId="0" applyNumberFormat="1" applyFont="1" applyFill="1" applyBorder="1" applyAlignment="1">
      <alignment horizontal="center" vertical="center"/>
    </xf>
    <xf numFmtId="167" fontId="7" fillId="7" borderId="27" xfId="0" applyNumberFormat="1" applyFont="1" applyFill="1" applyBorder="1" applyAlignment="1">
      <alignment horizontal="center" vertical="center"/>
    </xf>
    <xf numFmtId="169" fontId="7" fillId="2" borderId="118" xfId="0" applyNumberFormat="1" applyFont="1" applyFill="1" applyBorder="1" applyAlignment="1">
      <alignment horizontal="center" vertical="center"/>
    </xf>
    <xf numFmtId="164" fontId="14" fillId="19" borderId="72" xfId="0" applyFont="1" applyFill="1" applyBorder="1" applyAlignment="1">
      <alignment horizontal="center"/>
    </xf>
    <xf numFmtId="167" fontId="39" fillId="20" borderId="27" xfId="0" applyNumberFormat="1" applyFont="1" applyFill="1" applyBorder="1" applyAlignment="1">
      <alignment horizontal="center" vertical="center"/>
    </xf>
    <xf numFmtId="167" fontId="7" fillId="7" borderId="59" xfId="0" applyNumberFormat="1" applyFont="1" applyFill="1" applyBorder="1" applyAlignment="1">
      <alignment horizontal="center" vertical="center"/>
    </xf>
    <xf numFmtId="164" fontId="46" fillId="0" borderId="41" xfId="0" applyFont="1" applyFill="1" applyBorder="1" applyAlignment="1">
      <alignment horizontal="center" vertical="center"/>
    </xf>
    <xf numFmtId="164" fontId="7" fillId="0" borderId="10" xfId="0" applyFont="1" applyBorder="1" applyAlignment="1">
      <alignment horizontal="center" vertical="center"/>
    </xf>
    <xf numFmtId="167" fontId="39" fillId="20" borderId="44" xfId="0" applyNumberFormat="1" applyFont="1" applyFill="1" applyBorder="1" applyAlignment="1">
      <alignment horizontal="center" vertical="center"/>
    </xf>
    <xf numFmtId="167" fontId="7" fillId="7" borderId="10" xfId="0" applyNumberFormat="1" applyFont="1" applyFill="1" applyBorder="1" applyAlignment="1">
      <alignment horizontal="center" vertical="center"/>
    </xf>
    <xf numFmtId="168" fontId="7" fillId="37" borderId="5" xfId="0" applyNumberFormat="1" applyFont="1" applyFill="1" applyBorder="1" applyAlignment="1">
      <alignment horizontal="center" vertical="center"/>
    </xf>
    <xf numFmtId="164" fontId="7" fillId="0" borderId="34" xfId="0" applyFont="1" applyBorder="1" applyAlignment="1">
      <alignment horizontal="center" vertical="center"/>
    </xf>
    <xf numFmtId="167" fontId="39" fillId="20" borderId="48" xfId="0" applyNumberFormat="1" applyFont="1" applyFill="1" applyBorder="1" applyAlignment="1">
      <alignment horizontal="center" vertical="center"/>
    </xf>
    <xf numFmtId="167" fontId="7" fillId="7" borderId="34" xfId="0" applyNumberFormat="1" applyFont="1" applyFill="1" applyBorder="1" applyAlignment="1">
      <alignment horizontal="center" vertical="center"/>
    </xf>
    <xf numFmtId="164" fontId="46" fillId="0" borderId="51" xfId="0" applyFont="1" applyFill="1" applyBorder="1" applyAlignment="1">
      <alignment horizontal="center" vertical="center" wrapText="1"/>
    </xf>
    <xf numFmtId="168" fontId="0" fillId="0" borderId="59" xfId="0" applyNumberFormat="1" applyBorder="1" applyAlignment="1">
      <alignment horizontal="center" vertical="center"/>
    </xf>
    <xf numFmtId="167" fontId="39" fillId="20" borderId="34" xfId="0" applyNumberFormat="1" applyFont="1" applyFill="1" applyBorder="1" applyAlignment="1">
      <alignment horizontal="center" vertical="center"/>
    </xf>
    <xf numFmtId="164" fontId="46" fillId="0" borderId="105" xfId="0" applyFont="1" applyBorder="1" applyAlignment="1">
      <alignment horizontal="center" vertical="center" wrapText="1"/>
    </xf>
    <xf numFmtId="164" fontId="27" fillId="7" borderId="100" xfId="0" applyFont="1" applyFill="1" applyBorder="1" applyAlignment="1">
      <alignment horizontal="center" vertical="center" wrapText="1"/>
    </xf>
    <xf numFmtId="167" fontId="39" fillId="20" borderId="100" xfId="0" applyNumberFormat="1" applyFont="1" applyFill="1" applyBorder="1" applyAlignment="1">
      <alignment horizontal="center" vertical="center"/>
    </xf>
    <xf numFmtId="168" fontId="7" fillId="22" borderId="100" xfId="0" applyNumberFormat="1" applyFont="1" applyFill="1" applyBorder="1" applyAlignment="1">
      <alignment horizontal="center" vertical="center"/>
    </xf>
    <xf numFmtId="164" fontId="46" fillId="0" borderId="2" xfId="0" applyFont="1" applyBorder="1" applyAlignment="1">
      <alignment horizontal="center" vertical="center" wrapText="1"/>
    </xf>
    <xf numFmtId="164" fontId="47" fillId="0" borderId="14" xfId="0" applyFont="1" applyBorder="1" applyAlignment="1">
      <alignment horizontal="center" vertical="center" wrapText="1"/>
    </xf>
    <xf numFmtId="164" fontId="47" fillId="0" borderId="3" xfId="0" applyFont="1" applyBorder="1" applyAlignment="1">
      <alignment horizontal="center" vertical="center" wrapText="1"/>
    </xf>
    <xf numFmtId="164" fontId="7" fillId="7" borderId="26" xfId="0" applyFont="1" applyFill="1" applyBorder="1" applyAlignment="1">
      <alignment horizontal="center" vertical="center" wrapText="1"/>
    </xf>
    <xf numFmtId="167" fontId="39" fillId="20" borderId="50" xfId="0" applyNumberFormat="1" applyFont="1" applyFill="1" applyBorder="1" applyAlignment="1">
      <alignment horizontal="center" vertical="center"/>
    </xf>
    <xf numFmtId="164" fontId="46" fillId="0" borderId="8" xfId="0" applyFont="1" applyBorder="1" applyAlignment="1">
      <alignment horizontal="center" vertical="center" wrapText="1"/>
    </xf>
    <xf numFmtId="167" fontId="39" fillId="20" borderId="10" xfId="0" applyNumberFormat="1" applyFont="1" applyFill="1" applyBorder="1" applyAlignment="1">
      <alignment horizontal="center" vertical="center"/>
    </xf>
    <xf numFmtId="168" fontId="7" fillId="37" borderId="100" xfId="0" applyNumberFormat="1" applyFont="1" applyFill="1" applyBorder="1" applyAlignment="1">
      <alignment horizontal="center" vertical="center"/>
    </xf>
    <xf numFmtId="164" fontId="0" fillId="0" borderId="50" xfId="0" applyBorder="1" applyAlignment="1">
      <alignment horizontal="center" vertical="center"/>
    </xf>
    <xf numFmtId="168" fontId="7" fillId="37" borderId="118" xfId="0" applyNumberFormat="1" applyFont="1" applyFill="1" applyBorder="1" applyAlignment="1">
      <alignment horizontal="center" vertical="center"/>
    </xf>
    <xf numFmtId="168" fontId="7" fillId="37" borderId="47" xfId="0" applyNumberFormat="1" applyFont="1" applyFill="1" applyBorder="1" applyAlignment="1">
      <alignment horizontal="center" vertical="center"/>
    </xf>
    <xf numFmtId="167" fontId="39" fillId="20" borderId="47" xfId="0" applyNumberFormat="1" applyFont="1" applyFill="1" applyBorder="1" applyAlignment="1">
      <alignment horizontal="center" vertical="center"/>
    </xf>
    <xf numFmtId="167" fontId="7" fillId="7" borderId="47" xfId="0" applyNumberFormat="1" applyFont="1" applyFill="1" applyBorder="1" applyAlignment="1">
      <alignment horizontal="center" vertical="center"/>
    </xf>
    <xf numFmtId="164" fontId="14" fillId="19" borderId="74" xfId="0" applyFont="1" applyFill="1" applyBorder="1" applyAlignment="1">
      <alignment horizontal="center"/>
    </xf>
    <xf numFmtId="164" fontId="14" fillId="19" borderId="22" xfId="0" applyFont="1" applyFill="1" applyBorder="1" applyAlignment="1">
      <alignment horizontal="center"/>
    </xf>
    <xf numFmtId="164" fontId="14" fillId="19" borderId="159" xfId="0" applyFont="1" applyFill="1" applyBorder="1" applyAlignment="1">
      <alignment horizontal="center"/>
    </xf>
    <xf numFmtId="164" fontId="46" fillId="0" borderId="8" xfId="0" applyFont="1" applyFill="1" applyBorder="1" applyAlignment="1">
      <alignment horizontal="center" vertical="center"/>
    </xf>
    <xf numFmtId="164" fontId="32" fillId="38" borderId="5" xfId="0" applyFont="1" applyFill="1" applyBorder="1" applyAlignment="1">
      <alignment horizontal="center" vertical="center" wrapText="1"/>
    </xf>
    <xf numFmtId="164" fontId="41" fillId="41" borderId="5" xfId="0" applyFont="1" applyFill="1" applyBorder="1" applyAlignment="1">
      <alignment horizontal="center" vertical="center"/>
    </xf>
    <xf numFmtId="164" fontId="32" fillId="38" borderId="5" xfId="0" applyFont="1" applyFill="1" applyBorder="1" applyAlignment="1">
      <alignment horizontal="center" vertical="center"/>
    </xf>
    <xf numFmtId="167" fontId="42" fillId="38" borderId="5" xfId="0" applyNumberFormat="1" applyFont="1" applyFill="1" applyBorder="1" applyAlignment="1">
      <alignment horizontal="center" vertical="center"/>
    </xf>
    <xf numFmtId="182" fontId="42" fillId="38" borderId="5" xfId="0" applyNumberFormat="1" applyFont="1" applyFill="1" applyBorder="1" applyAlignment="1">
      <alignment horizontal="center" vertical="center"/>
    </xf>
    <xf numFmtId="167" fontId="42" fillId="38" borderId="61" xfId="0" applyNumberFormat="1" applyFont="1" applyFill="1" applyBorder="1" applyAlignment="1">
      <alignment horizontal="center" vertical="center"/>
    </xf>
    <xf numFmtId="167" fontId="42" fillId="44" borderId="67" xfId="0" applyNumberFormat="1" applyFont="1" applyFill="1" applyBorder="1" applyAlignment="1">
      <alignment horizontal="center" vertical="center"/>
    </xf>
    <xf numFmtId="167" fontId="43" fillId="6" borderId="5" xfId="0" applyNumberFormat="1" applyFont="1" applyFill="1" applyBorder="1" applyAlignment="1">
      <alignment horizontal="center" vertical="center"/>
    </xf>
    <xf numFmtId="164" fontId="0" fillId="0" borderId="0" xfId="0" applyFont="1" applyAlignment="1">
      <alignment horizontal="center"/>
    </xf>
    <xf numFmtId="180" fontId="0" fillId="0" borderId="0" xfId="0" applyNumberFormat="1" applyAlignment="1">
      <alignment/>
    </xf>
    <xf numFmtId="172" fontId="0" fillId="14" borderId="0" xfId="0" applyNumberFormat="1" applyFill="1" applyAlignment="1">
      <alignment/>
    </xf>
    <xf numFmtId="164" fontId="20" fillId="0" borderId="67" xfId="0" applyFont="1" applyBorder="1" applyAlignment="1">
      <alignment/>
    </xf>
    <xf numFmtId="164" fontId="32" fillId="22" borderId="87" xfId="0" applyFont="1" applyFill="1" applyBorder="1" applyAlignment="1">
      <alignment horizontal="center" vertical="center" wrapText="1"/>
    </xf>
    <xf numFmtId="164" fontId="32" fillId="0" borderId="40" xfId="0" applyFont="1" applyBorder="1" applyAlignment="1">
      <alignment horizontal="center" vertical="center"/>
    </xf>
    <xf numFmtId="164" fontId="32" fillId="0" borderId="1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22" fillId="22" borderId="2" xfId="0" applyFont="1" applyFill="1" applyBorder="1" applyAlignment="1">
      <alignment horizontal="center" vertical="center" wrapText="1"/>
    </xf>
    <xf numFmtId="164" fontId="22" fillId="22" borderId="67" xfId="0" applyFont="1" applyFill="1" applyBorder="1" applyAlignment="1">
      <alignment horizontal="center" vertical="center"/>
    </xf>
    <xf numFmtId="164" fontId="22" fillId="22" borderId="61" xfId="0" applyFont="1" applyFill="1" applyBorder="1" applyAlignment="1">
      <alignment horizontal="center" vertical="center" wrapText="1"/>
    </xf>
    <xf numFmtId="164" fontId="35" fillId="38" borderId="61" xfId="0" applyFont="1" applyFill="1" applyBorder="1" applyAlignment="1">
      <alignment horizontal="center" vertical="center" wrapText="1"/>
    </xf>
    <xf numFmtId="164" fontId="47" fillId="0" borderId="2" xfId="0" applyFont="1" applyFill="1" applyBorder="1" applyAlignment="1">
      <alignment horizontal="center" vertical="center" wrapText="1"/>
    </xf>
    <xf numFmtId="164" fontId="7" fillId="0" borderId="137" xfId="0" applyFont="1" applyBorder="1" applyAlignment="1">
      <alignment horizontal="center" vertical="center"/>
    </xf>
    <xf numFmtId="167" fontId="39" fillId="22" borderId="68" xfId="0" applyNumberFormat="1" applyFont="1" applyFill="1" applyBorder="1" applyAlignment="1">
      <alignment horizontal="center" vertical="center"/>
    </xf>
    <xf numFmtId="170" fontId="7" fillId="7" borderId="10" xfId="0" applyNumberFormat="1" applyFont="1" applyFill="1" applyBorder="1" applyAlignment="1">
      <alignment horizontal="center" vertical="center"/>
    </xf>
    <xf numFmtId="167" fontId="7" fillId="37" borderId="10" xfId="0" applyNumberFormat="1" applyFont="1" applyFill="1" applyBorder="1" applyAlignment="1">
      <alignment horizontal="center" vertical="center"/>
    </xf>
    <xf numFmtId="167" fontId="32" fillId="38" borderId="53" xfId="0" applyNumberFormat="1" applyFont="1" applyFill="1" applyBorder="1" applyAlignment="1">
      <alignment horizontal="center" vertical="center"/>
    </xf>
    <xf numFmtId="170" fontId="32" fillId="39" borderId="3" xfId="0" applyNumberFormat="1" applyFont="1" applyFill="1" applyBorder="1" applyAlignment="1">
      <alignment horizontal="center"/>
    </xf>
    <xf numFmtId="170" fontId="32" fillId="19" borderId="3" xfId="0" applyNumberFormat="1" applyFont="1" applyFill="1" applyBorder="1" applyAlignment="1">
      <alignment horizontal="center"/>
    </xf>
    <xf numFmtId="170" fontId="32" fillId="6" borderId="3" xfId="0" applyNumberFormat="1" applyFont="1" applyFill="1" applyBorder="1" applyAlignment="1">
      <alignment horizontal="center"/>
    </xf>
    <xf numFmtId="164" fontId="7" fillId="0" borderId="118" xfId="0" applyFont="1" applyBorder="1" applyAlignment="1">
      <alignment horizontal="center" vertical="center"/>
    </xf>
    <xf numFmtId="167" fontId="39" fillId="22" borderId="69" xfId="0" applyNumberFormat="1" applyFont="1" applyFill="1" applyBorder="1" applyAlignment="1">
      <alignment horizontal="center" vertical="center"/>
    </xf>
    <xf numFmtId="170" fontId="7" fillId="7" borderId="27" xfId="0" applyNumberFormat="1" applyFont="1" applyFill="1" applyBorder="1" applyAlignment="1">
      <alignment horizontal="center" vertical="center"/>
    </xf>
    <xf numFmtId="167" fontId="7" fillId="37" borderId="27" xfId="0" applyNumberFormat="1" applyFont="1" applyFill="1" applyBorder="1" applyAlignment="1">
      <alignment horizontal="center" vertical="center"/>
    </xf>
    <xf numFmtId="167" fontId="32" fillId="38" borderId="69" xfId="0" applyNumberFormat="1" applyFont="1" applyFill="1" applyBorder="1" applyAlignment="1">
      <alignment horizontal="center" vertical="center"/>
    </xf>
    <xf numFmtId="170" fontId="32" fillId="39" borderId="15" xfId="0" applyNumberFormat="1" applyFont="1" applyFill="1" applyBorder="1" applyAlignment="1">
      <alignment horizontal="center"/>
    </xf>
    <xf numFmtId="170" fontId="32" fillId="19" borderId="15" xfId="0" applyNumberFormat="1" applyFont="1" applyFill="1" applyBorder="1" applyAlignment="1">
      <alignment horizontal="center"/>
    </xf>
    <xf numFmtId="164" fontId="7" fillId="0" borderId="121" xfId="0" applyFont="1" applyBorder="1" applyAlignment="1">
      <alignment horizontal="center" vertical="center"/>
    </xf>
    <xf numFmtId="167" fontId="39" fillId="22" borderId="120" xfId="0" applyNumberFormat="1" applyFont="1" applyFill="1" applyBorder="1" applyAlignment="1">
      <alignment horizontal="center" vertical="center"/>
    </xf>
    <xf numFmtId="170" fontId="7" fillId="7" borderId="47" xfId="0" applyNumberFormat="1" applyFont="1" applyFill="1" applyBorder="1" applyAlignment="1">
      <alignment horizontal="center" vertical="center"/>
    </xf>
    <xf numFmtId="167" fontId="7" fillId="37" borderId="47" xfId="0" applyNumberFormat="1" applyFont="1" applyFill="1" applyBorder="1" applyAlignment="1">
      <alignment horizontal="center" vertical="center"/>
    </xf>
    <xf numFmtId="164" fontId="7" fillId="0" borderId="91" xfId="0" applyFont="1" applyBorder="1" applyAlignment="1">
      <alignment horizontal="center" vertical="center"/>
    </xf>
    <xf numFmtId="167" fontId="39" fillId="22" borderId="70" xfId="0" applyNumberFormat="1" applyFont="1" applyFill="1" applyBorder="1" applyAlignment="1">
      <alignment horizontal="center" vertical="center"/>
    </xf>
    <xf numFmtId="170" fontId="7" fillId="7" borderId="34" xfId="0" applyNumberFormat="1" applyFont="1" applyFill="1" applyBorder="1" applyAlignment="1">
      <alignment horizontal="center" vertical="center"/>
    </xf>
    <xf numFmtId="167" fontId="7" fillId="37" borderId="34" xfId="0" applyNumberFormat="1" applyFont="1" applyFill="1" applyBorder="1" applyAlignment="1">
      <alignment horizontal="center" vertical="center"/>
    </xf>
    <xf numFmtId="167" fontId="32" fillId="38" borderId="129" xfId="0" applyNumberFormat="1" applyFont="1" applyFill="1" applyBorder="1" applyAlignment="1">
      <alignment horizontal="center" vertical="center"/>
    </xf>
    <xf numFmtId="170" fontId="32" fillId="39" borderId="13" xfId="0" applyNumberFormat="1" applyFont="1" applyFill="1" applyBorder="1" applyAlignment="1">
      <alignment horizontal="center"/>
    </xf>
    <xf numFmtId="170" fontId="32" fillId="19" borderId="13" xfId="0" applyNumberFormat="1" applyFont="1" applyFill="1" applyBorder="1" applyAlignment="1">
      <alignment horizontal="center"/>
    </xf>
    <xf numFmtId="164" fontId="47" fillId="0" borderId="22" xfId="0" applyFont="1" applyFill="1" applyBorder="1" applyAlignment="1">
      <alignment horizontal="center" vertical="center" wrapText="1"/>
    </xf>
    <xf numFmtId="164" fontId="7" fillId="0" borderId="97" xfId="0" applyFont="1" applyBorder="1" applyAlignment="1">
      <alignment horizontal="center" vertical="center"/>
    </xf>
    <xf numFmtId="167" fontId="39" fillId="22" borderId="110" xfId="0" applyNumberFormat="1" applyFont="1" applyFill="1" applyBorder="1" applyAlignment="1">
      <alignment horizontal="center" vertical="center"/>
    </xf>
    <xf numFmtId="170" fontId="7" fillId="7" borderId="50" xfId="0" applyNumberFormat="1" applyFont="1" applyFill="1" applyBorder="1" applyAlignment="1">
      <alignment horizontal="center" vertical="center"/>
    </xf>
    <xf numFmtId="167" fontId="7" fillId="37" borderId="50" xfId="0" applyNumberFormat="1" applyFont="1" applyFill="1" applyBorder="1" applyAlignment="1">
      <alignment horizontal="center" vertical="center"/>
    </xf>
    <xf numFmtId="167" fontId="32" fillId="38" borderId="68" xfId="0" applyNumberFormat="1" applyFont="1" applyFill="1" applyBorder="1" applyAlignment="1">
      <alignment horizontal="center" vertical="center"/>
    </xf>
    <xf numFmtId="170" fontId="32" fillId="39" borderId="14" xfId="0" applyNumberFormat="1" applyFont="1" applyFill="1" applyBorder="1" applyAlignment="1">
      <alignment horizontal="center"/>
    </xf>
    <xf numFmtId="170" fontId="32" fillId="19" borderId="14" xfId="0" applyNumberFormat="1" applyFont="1" applyFill="1" applyBorder="1" applyAlignment="1">
      <alignment horizontal="center"/>
    </xf>
    <xf numFmtId="167" fontId="7" fillId="52" borderId="10" xfId="0" applyNumberFormat="1" applyFont="1" applyFill="1" applyBorder="1" applyAlignment="1">
      <alignment horizontal="center" vertical="center"/>
    </xf>
    <xf numFmtId="164" fontId="47" fillId="0" borderId="2" xfId="0" applyFont="1" applyFill="1" applyBorder="1" applyAlignment="1">
      <alignment horizontal="center" vertical="center"/>
    </xf>
    <xf numFmtId="164" fontId="7" fillId="0" borderId="137" xfId="0" applyFont="1" applyBorder="1" applyAlignment="1">
      <alignment horizontal="center" vertical="center" wrapText="1"/>
    </xf>
    <xf numFmtId="164" fontId="7" fillId="0" borderId="67" xfId="0" applyFont="1" applyBorder="1" applyAlignment="1">
      <alignment horizontal="center" vertical="center"/>
    </xf>
    <xf numFmtId="167" fontId="39" fillId="22" borderId="61" xfId="0" applyNumberFormat="1" applyFont="1" applyFill="1" applyBorder="1" applyAlignment="1">
      <alignment horizontal="center" vertical="center"/>
    </xf>
    <xf numFmtId="170" fontId="7" fillId="7" borderId="5" xfId="0" applyNumberFormat="1" applyFont="1" applyFill="1" applyBorder="1" applyAlignment="1">
      <alignment horizontal="center" vertical="center"/>
    </xf>
    <xf numFmtId="167" fontId="7" fillId="7" borderId="5" xfId="0" applyNumberFormat="1" applyFont="1" applyFill="1" applyBorder="1" applyAlignment="1">
      <alignment horizontal="center" vertical="center"/>
    </xf>
    <xf numFmtId="167" fontId="7" fillId="37" borderId="5" xfId="0" applyNumberFormat="1" applyFont="1" applyFill="1" applyBorder="1" applyAlignment="1">
      <alignment horizontal="center" vertical="center"/>
    </xf>
    <xf numFmtId="164" fontId="47" fillId="0" borderId="7" xfId="0" applyFont="1" applyFill="1" applyBorder="1" applyAlignment="1">
      <alignment horizontal="center" vertical="center"/>
    </xf>
    <xf numFmtId="164" fontId="7" fillId="0" borderId="26" xfId="0" applyFont="1" applyBorder="1" applyAlignment="1">
      <alignment horizontal="center" vertical="center"/>
    </xf>
    <xf numFmtId="164" fontId="7" fillId="0" borderId="119" xfId="0" applyFont="1" applyBorder="1" applyAlignment="1">
      <alignment horizontal="center" vertical="center"/>
    </xf>
    <xf numFmtId="170" fontId="7" fillId="7" borderId="121" xfId="0" applyNumberFormat="1" applyFont="1" applyFill="1" applyBorder="1" applyAlignment="1">
      <alignment horizontal="center" vertical="center"/>
    </xf>
    <xf numFmtId="164" fontId="7" fillId="0" borderId="33" xfId="0" applyFont="1" applyBorder="1" applyAlignment="1">
      <alignment horizontal="center" vertical="center"/>
    </xf>
    <xf numFmtId="164" fontId="7" fillId="0" borderId="9" xfId="0" applyFont="1" applyBorder="1" applyAlignment="1">
      <alignment horizontal="center" vertical="center" wrapText="1"/>
    </xf>
    <xf numFmtId="164" fontId="7" fillId="0" borderId="26" xfId="0" applyFont="1" applyBorder="1" applyAlignment="1">
      <alignment horizontal="center" vertical="center" wrapText="1"/>
    </xf>
    <xf numFmtId="164" fontId="7" fillId="0" borderId="33" xfId="0" applyFont="1" applyBorder="1" applyAlignment="1">
      <alignment horizontal="center" vertical="center" wrapText="1"/>
    </xf>
    <xf numFmtId="164" fontId="47" fillId="0" borderId="2" xfId="0" applyFont="1" applyBorder="1" applyAlignment="1">
      <alignment horizontal="center" vertical="center" wrapText="1"/>
    </xf>
    <xf numFmtId="170" fontId="7" fillId="7" borderId="59" xfId="0" applyNumberFormat="1" applyFont="1" applyFill="1" applyBorder="1" applyAlignment="1">
      <alignment horizontal="center" vertical="center"/>
    </xf>
    <xf numFmtId="167" fontId="7" fillId="37" borderId="59" xfId="0" applyNumberFormat="1" applyFont="1" applyFill="1" applyBorder="1" applyAlignment="1">
      <alignment horizontal="center" vertical="center"/>
    </xf>
    <xf numFmtId="164" fontId="47" fillId="0" borderId="13" xfId="0" applyFont="1" applyFill="1" applyBorder="1" applyAlignment="1">
      <alignment horizontal="center" vertical="center" wrapText="1"/>
    </xf>
    <xf numFmtId="164" fontId="7" fillId="0" borderId="54" xfId="0" applyFont="1" applyBorder="1" applyAlignment="1">
      <alignment horizontal="center" vertical="center"/>
    </xf>
    <xf numFmtId="164" fontId="7" fillId="0" borderId="135" xfId="0" applyFont="1" applyBorder="1" applyAlignment="1">
      <alignment horizontal="center" vertical="center" wrapText="1"/>
    </xf>
    <xf numFmtId="167" fontId="39" fillId="22" borderId="87" xfId="0" applyNumberFormat="1" applyFont="1" applyFill="1" applyBorder="1" applyAlignment="1">
      <alignment horizontal="center" vertical="center"/>
    </xf>
    <xf numFmtId="167" fontId="7" fillId="37" borderId="100" xfId="0" applyNumberFormat="1" applyFont="1" applyFill="1" applyBorder="1" applyAlignment="1">
      <alignment horizontal="center" vertical="center"/>
    </xf>
    <xf numFmtId="167" fontId="39" fillId="22" borderId="45" xfId="0" applyNumberFormat="1" applyFont="1" applyFill="1" applyBorder="1" applyAlignment="1">
      <alignment horizontal="center" vertical="center"/>
    </xf>
    <xf numFmtId="164" fontId="7" fillId="0" borderId="54" xfId="0" applyFont="1" applyBorder="1" applyAlignment="1">
      <alignment horizontal="center" vertical="center" wrapText="1"/>
    </xf>
    <xf numFmtId="167" fontId="39" fillId="22" borderId="140" xfId="0" applyNumberFormat="1" applyFont="1" applyFill="1" applyBorder="1" applyAlignment="1">
      <alignment horizontal="center" vertical="center"/>
    </xf>
    <xf numFmtId="170" fontId="7" fillId="7" borderId="23" xfId="0" applyNumberFormat="1" applyFont="1" applyFill="1" applyBorder="1" applyAlignment="1">
      <alignment horizontal="center" vertical="center"/>
    </xf>
    <xf numFmtId="167" fontId="7" fillId="7" borderId="24" xfId="0" applyNumberFormat="1" applyFont="1" applyFill="1" applyBorder="1" applyAlignment="1">
      <alignment horizontal="center" vertical="center"/>
    </xf>
    <xf numFmtId="164" fontId="7" fillId="7" borderId="24" xfId="0" applyFont="1" applyFill="1" applyBorder="1" applyAlignment="1">
      <alignment horizontal="center" vertical="center"/>
    </xf>
    <xf numFmtId="167" fontId="7" fillId="37" borderId="24" xfId="0" applyNumberFormat="1" applyFont="1" applyFill="1" applyBorder="1" applyAlignment="1">
      <alignment horizontal="center" vertical="center"/>
    </xf>
    <xf numFmtId="167" fontId="39" fillId="22" borderId="100" xfId="0" applyNumberFormat="1" applyFont="1" applyFill="1" applyBorder="1" applyAlignment="1">
      <alignment horizontal="center" vertical="center"/>
    </xf>
    <xf numFmtId="170" fontId="7" fillId="7" borderId="100" xfId="0" applyNumberFormat="1" applyFont="1" applyFill="1" applyBorder="1" applyAlignment="1">
      <alignment horizontal="center" vertical="center"/>
    </xf>
    <xf numFmtId="167" fontId="39" fillId="22" borderId="27" xfId="0" applyNumberFormat="1" applyFont="1" applyFill="1" applyBorder="1" applyAlignment="1">
      <alignment horizontal="center" vertical="center"/>
    </xf>
    <xf numFmtId="167" fontId="39" fillId="22" borderId="59" xfId="0" applyNumberFormat="1" applyFont="1" applyFill="1" applyBorder="1" applyAlignment="1">
      <alignment horizontal="center" vertical="center"/>
    </xf>
    <xf numFmtId="167" fontId="39" fillId="22" borderId="47" xfId="0" applyNumberFormat="1" applyFont="1" applyFill="1" applyBorder="1" applyAlignment="1">
      <alignment horizontal="center" vertical="center"/>
    </xf>
    <xf numFmtId="167" fontId="39" fillId="22" borderId="10" xfId="0" applyNumberFormat="1" applyFont="1" applyFill="1" applyBorder="1" applyAlignment="1">
      <alignment horizontal="center" vertical="center"/>
    </xf>
    <xf numFmtId="170" fontId="32" fillId="6" borderId="14" xfId="0" applyNumberFormat="1" applyFont="1" applyFill="1" applyBorder="1" applyAlignment="1">
      <alignment horizontal="center"/>
    </xf>
    <xf numFmtId="167" fontId="39" fillId="22" borderId="34" xfId="0" applyNumberFormat="1" applyFont="1" applyFill="1" applyBorder="1" applyAlignment="1">
      <alignment horizontal="center" vertical="center"/>
    </xf>
    <xf numFmtId="167" fontId="32" fillId="38" borderId="70" xfId="0" applyNumberFormat="1" applyFont="1" applyFill="1" applyBorder="1" applyAlignment="1">
      <alignment horizontal="center" vertical="center"/>
    </xf>
    <xf numFmtId="170" fontId="32" fillId="19" borderId="36" xfId="0" applyNumberFormat="1" applyFont="1" applyFill="1" applyBorder="1" applyAlignment="1">
      <alignment horizontal="center"/>
    </xf>
    <xf numFmtId="170" fontId="32" fillId="6" borderId="36" xfId="0" applyNumberFormat="1" applyFont="1" applyFill="1" applyBorder="1" applyAlignment="1">
      <alignment horizontal="center"/>
    </xf>
    <xf numFmtId="167" fontId="39" fillId="22" borderId="5" xfId="0" applyNumberFormat="1" applyFont="1" applyFill="1" applyBorder="1" applyAlignment="1">
      <alignment horizontal="center" vertical="center"/>
    </xf>
    <xf numFmtId="167" fontId="32" fillId="38" borderId="61" xfId="0" applyNumberFormat="1" applyFont="1" applyFill="1" applyBorder="1" applyAlignment="1">
      <alignment horizontal="center" vertical="center"/>
    </xf>
    <xf numFmtId="170" fontId="32" fillId="39" borderId="2" xfId="0" applyNumberFormat="1" applyFont="1" applyFill="1" applyBorder="1" applyAlignment="1">
      <alignment horizontal="center"/>
    </xf>
    <xf numFmtId="170" fontId="32" fillId="19" borderId="2" xfId="0" applyNumberFormat="1" applyFont="1" applyFill="1" applyBorder="1" applyAlignment="1">
      <alignment horizontal="center"/>
    </xf>
    <xf numFmtId="164" fontId="6" fillId="0" borderId="40" xfId="0" applyFont="1" applyFill="1" applyBorder="1" applyAlignment="1">
      <alignment horizontal="center" vertical="center"/>
    </xf>
    <xf numFmtId="164" fontId="32" fillId="38" borderId="41" xfId="0" applyFont="1" applyFill="1" applyBorder="1" applyAlignment="1">
      <alignment horizontal="center" vertical="center" wrapText="1"/>
    </xf>
    <xf numFmtId="164" fontId="41" fillId="41" borderId="59" xfId="0" applyFont="1" applyFill="1" applyBorder="1" applyAlignment="1">
      <alignment horizontal="center" vertical="center"/>
    </xf>
    <xf numFmtId="182" fontId="42" fillId="38" borderId="59" xfId="0" applyNumberFormat="1" applyFont="1" applyFill="1" applyBorder="1" applyAlignment="1">
      <alignment horizontal="center" vertical="center"/>
    </xf>
    <xf numFmtId="167" fontId="42" fillId="44" borderId="59" xfId="0" applyNumberFormat="1" applyFont="1" applyFill="1" applyBorder="1" applyAlignment="1">
      <alignment horizontal="center" vertical="center"/>
    </xf>
    <xf numFmtId="167" fontId="42" fillId="47" borderId="59" xfId="0" applyNumberFormat="1" applyFont="1" applyFill="1" applyBorder="1" applyAlignment="1">
      <alignment horizontal="center" vertical="center"/>
    </xf>
    <xf numFmtId="167" fontId="32" fillId="38" borderId="60" xfId="0" applyNumberFormat="1" applyFont="1" applyFill="1" applyBorder="1" applyAlignment="1">
      <alignment horizontal="center" vertical="center"/>
    </xf>
    <xf numFmtId="170" fontId="32" fillId="19" borderId="0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164" fontId="32" fillId="24" borderId="100" xfId="0" applyFont="1" applyFill="1" applyBorder="1" applyAlignment="1">
      <alignment horizontal="center" vertical="center"/>
    </xf>
    <xf numFmtId="178" fontId="32" fillId="24" borderId="87" xfId="0" applyNumberFormat="1" applyFont="1" applyFill="1" applyBorder="1" applyAlignment="1">
      <alignment horizontal="center" vertical="center"/>
    </xf>
    <xf numFmtId="164" fontId="32" fillId="24" borderId="53" xfId="0" applyFont="1" applyFill="1" applyBorder="1" applyAlignment="1">
      <alignment horizontal="center" vertical="center"/>
    </xf>
    <xf numFmtId="164" fontId="22" fillId="24" borderId="2" xfId="0" applyFont="1" applyFill="1" applyBorder="1" applyAlignment="1">
      <alignment horizontal="center" vertical="center" wrapText="1"/>
    </xf>
    <xf numFmtId="164" fontId="22" fillId="24" borderId="67" xfId="0" applyFont="1" applyFill="1" applyBorder="1" applyAlignment="1">
      <alignment horizontal="center" vertical="center"/>
    </xf>
    <xf numFmtId="164" fontId="22" fillId="24" borderId="61" xfId="0" applyFont="1" applyFill="1" applyBorder="1" applyAlignment="1">
      <alignment horizontal="center" vertical="center" wrapText="1"/>
    </xf>
    <xf numFmtId="167" fontId="33" fillId="0" borderId="61" xfId="0" applyNumberFormat="1" applyFont="1" applyBorder="1" applyAlignment="1">
      <alignment horizontal="center" vertical="center" wrapText="1"/>
    </xf>
    <xf numFmtId="167" fontId="34" fillId="37" borderId="67" xfId="0" applyNumberFormat="1" applyFont="1" applyFill="1" applyBorder="1" applyAlignment="1">
      <alignment horizontal="center" vertical="center" wrapText="1"/>
    </xf>
    <xf numFmtId="164" fontId="48" fillId="0" borderId="8" xfId="0" applyFont="1" applyFill="1" applyBorder="1" applyAlignment="1">
      <alignment horizontal="center" vertical="center" wrapText="1"/>
    </xf>
    <xf numFmtId="167" fontId="39" fillId="24" borderId="61" xfId="0" applyNumberFormat="1" applyFont="1" applyFill="1" applyBorder="1" applyAlignment="1">
      <alignment horizontal="center" vertical="center"/>
    </xf>
    <xf numFmtId="170" fontId="32" fillId="19" borderId="61" xfId="0" applyNumberFormat="1" applyFont="1" applyFill="1" applyBorder="1" applyAlignment="1">
      <alignment horizontal="center"/>
    </xf>
    <xf numFmtId="170" fontId="32" fillId="6" borderId="61" xfId="0" applyNumberFormat="1" applyFont="1" applyFill="1" applyBorder="1" applyAlignment="1">
      <alignment horizontal="center"/>
    </xf>
    <xf numFmtId="164" fontId="7" fillId="0" borderId="4" xfId="0" applyFont="1" applyBorder="1" applyAlignment="1">
      <alignment horizontal="center" vertical="center"/>
    </xf>
    <xf numFmtId="167" fontId="39" fillId="24" borderId="4" xfId="0" applyNumberFormat="1" applyFont="1" applyFill="1" applyBorder="1" applyAlignment="1">
      <alignment horizontal="center" vertical="center"/>
    </xf>
    <xf numFmtId="170" fontId="32" fillId="19" borderId="53" xfId="0" applyNumberFormat="1" applyFont="1" applyFill="1" applyBorder="1" applyAlignment="1">
      <alignment horizontal="center"/>
    </xf>
    <xf numFmtId="164" fontId="7" fillId="0" borderId="14" xfId="0" applyFont="1" applyBorder="1" applyAlignment="1">
      <alignment horizontal="center" vertical="center" wrapText="1"/>
    </xf>
    <xf numFmtId="167" fontId="39" fillId="24" borderId="137" xfId="0" applyNumberFormat="1" applyFont="1" applyFill="1" applyBorder="1" applyAlignment="1">
      <alignment horizontal="center" vertical="center"/>
    </xf>
    <xf numFmtId="170" fontId="32" fillId="19" borderId="68" xfId="0" applyNumberFormat="1" applyFont="1" applyFill="1" applyBorder="1" applyAlignment="1">
      <alignment horizontal="center"/>
    </xf>
    <xf numFmtId="164" fontId="7" fillId="0" borderId="15" xfId="0" applyFont="1" applyBorder="1" applyAlignment="1">
      <alignment horizontal="center" vertical="center" wrapText="1"/>
    </xf>
    <xf numFmtId="167" fontId="39" fillId="24" borderId="118" xfId="0" applyNumberFormat="1" applyFont="1" applyFill="1" applyBorder="1" applyAlignment="1">
      <alignment horizontal="center" vertical="center"/>
    </xf>
    <xf numFmtId="170" fontId="32" fillId="19" borderId="69" xfId="0" applyNumberFormat="1" applyFont="1" applyFill="1" applyBorder="1" applyAlignment="1">
      <alignment horizontal="center"/>
    </xf>
    <xf numFmtId="164" fontId="7" fillId="0" borderId="36" xfId="0" applyFont="1" applyFill="1" applyBorder="1" applyAlignment="1">
      <alignment horizontal="center" vertical="center" wrapText="1"/>
    </xf>
    <xf numFmtId="167" fontId="39" fillId="24" borderId="91" xfId="0" applyNumberFormat="1" applyFont="1" applyFill="1" applyBorder="1" applyAlignment="1">
      <alignment horizontal="center" vertical="center"/>
    </xf>
    <xf numFmtId="164" fontId="0" fillId="0" borderId="34" xfId="0" applyBorder="1" applyAlignment="1">
      <alignment/>
    </xf>
    <xf numFmtId="164" fontId="0" fillId="0" borderId="34" xfId="0" applyBorder="1" applyAlignment="1">
      <alignment horizontal="center" vertical="center"/>
    </xf>
    <xf numFmtId="164" fontId="6" fillId="0" borderId="7" xfId="0" applyFont="1" applyFill="1" applyBorder="1" applyAlignment="1">
      <alignment horizontal="center" vertical="center"/>
    </xf>
    <xf numFmtId="164" fontId="32" fillId="38" borderId="139" xfId="0" applyFont="1" applyFill="1" applyBorder="1" applyAlignment="1">
      <alignment horizontal="center" vertical="center" wrapText="1"/>
    </xf>
    <xf numFmtId="167" fontId="42" fillId="44" borderId="139" xfId="0" applyNumberFormat="1" applyFont="1" applyFill="1" applyBorder="1" applyAlignment="1">
      <alignment horizontal="center" vertical="center"/>
    </xf>
    <xf numFmtId="167" fontId="43" fillId="6" borderId="59" xfId="0" applyNumberFormat="1" applyFont="1" applyFill="1" applyBorder="1" applyAlignment="1">
      <alignment horizontal="center" vertical="center"/>
    </xf>
    <xf numFmtId="182" fontId="0" fillId="0" borderId="0" xfId="0" applyNumberFormat="1" applyAlignment="1">
      <alignment/>
    </xf>
    <xf numFmtId="164" fontId="32" fillId="19" borderId="87" xfId="0" applyFont="1" applyFill="1" applyBorder="1" applyAlignment="1">
      <alignment horizontal="center" vertical="center"/>
    </xf>
    <xf numFmtId="178" fontId="32" fillId="19" borderId="87" xfId="0" applyNumberFormat="1" applyFont="1" applyFill="1" applyBorder="1" applyAlignment="1">
      <alignment horizontal="center" vertical="center"/>
    </xf>
    <xf numFmtId="164" fontId="32" fillId="19" borderId="61" xfId="0" applyFont="1" applyFill="1" applyBorder="1" applyAlignment="1">
      <alignment horizontal="center" vertical="center"/>
    </xf>
    <xf numFmtId="164" fontId="32" fillId="0" borderId="37" xfId="0" applyFont="1" applyBorder="1" applyAlignment="1">
      <alignment horizontal="center" vertical="center"/>
    </xf>
    <xf numFmtId="164" fontId="22" fillId="19" borderId="3" xfId="0" applyFont="1" applyFill="1" applyBorder="1" applyAlignment="1">
      <alignment horizontal="center" vertical="center" wrapText="1"/>
    </xf>
    <xf numFmtId="164" fontId="22" fillId="19" borderId="4" xfId="0" applyFont="1" applyFill="1" applyBorder="1" applyAlignment="1">
      <alignment horizontal="center" vertical="center"/>
    </xf>
    <xf numFmtId="164" fontId="33" fillId="0" borderId="100" xfId="0" applyFont="1" applyBorder="1" applyAlignment="1">
      <alignment horizontal="center" vertical="center" wrapText="1"/>
    </xf>
    <xf numFmtId="167" fontId="33" fillId="0" borderId="100" xfId="0" applyNumberFormat="1" applyFont="1" applyBorder="1" applyAlignment="1">
      <alignment horizontal="center" vertical="center" wrapText="1"/>
    </xf>
    <xf numFmtId="167" fontId="34" fillId="37" borderId="100" xfId="0" applyNumberFormat="1" applyFont="1" applyFill="1" applyBorder="1" applyAlignment="1">
      <alignment horizontal="center" vertical="center" wrapText="1"/>
    </xf>
    <xf numFmtId="164" fontId="49" fillId="0" borderId="2" xfId="0" applyFont="1" applyFill="1" applyBorder="1" applyAlignment="1">
      <alignment horizontal="center" vertical="center" wrapText="1"/>
    </xf>
    <xf numFmtId="164" fontId="7" fillId="0" borderId="151" xfId="0" applyFont="1" applyBorder="1" applyAlignment="1">
      <alignment horizontal="center" vertical="center" wrapText="1"/>
    </xf>
    <xf numFmtId="167" fontId="39" fillId="19" borderId="2" xfId="0" applyNumberFormat="1" applyFont="1" applyFill="1" applyBorder="1" applyAlignment="1">
      <alignment horizontal="center" vertical="center"/>
    </xf>
    <xf numFmtId="164" fontId="7" fillId="0" borderId="62" xfId="0" applyFont="1" applyBorder="1" applyAlignment="1">
      <alignment horizontal="center" vertical="center" wrapText="1"/>
    </xf>
    <xf numFmtId="167" fontId="39" fillId="19" borderId="9" xfId="0" applyNumberFormat="1" applyFont="1" applyFill="1" applyBorder="1" applyAlignment="1">
      <alignment horizontal="center" vertical="center"/>
    </xf>
    <xf numFmtId="164" fontId="7" fillId="0" borderId="64" xfId="0" applyFont="1" applyBorder="1" applyAlignment="1">
      <alignment horizontal="center" vertical="center" wrapText="1"/>
    </xf>
    <xf numFmtId="167" fontId="39" fillId="19" borderId="26" xfId="0" applyNumberFormat="1" applyFont="1" applyFill="1" applyBorder="1" applyAlignment="1">
      <alignment horizontal="center" vertical="center"/>
    </xf>
    <xf numFmtId="164" fontId="7" fillId="0" borderId="138" xfId="0" applyFont="1" applyBorder="1" applyAlignment="1">
      <alignment horizontal="center" vertical="center" wrapText="1"/>
    </xf>
    <xf numFmtId="167" fontId="39" fillId="19" borderId="33" xfId="0" applyNumberFormat="1" applyFont="1" applyFill="1" applyBorder="1" applyAlignment="1">
      <alignment horizontal="center" vertical="center"/>
    </xf>
    <xf numFmtId="164" fontId="49" fillId="0" borderId="2" xfId="0" applyFont="1" applyBorder="1" applyAlignment="1">
      <alignment horizontal="center" vertical="center" wrapText="1"/>
    </xf>
    <xf numFmtId="164" fontId="7" fillId="7" borderId="151" xfId="0" applyFont="1" applyFill="1" applyBorder="1" applyAlignment="1">
      <alignment horizontal="center" vertical="center"/>
    </xf>
    <xf numFmtId="167" fontId="39" fillId="19" borderId="41" xfId="0" applyNumberFormat="1" applyFont="1" applyFill="1" applyBorder="1" applyAlignment="1">
      <alignment horizontal="center" vertical="center"/>
    </xf>
    <xf numFmtId="164" fontId="7" fillId="7" borderId="62" xfId="0" applyFont="1" applyFill="1" applyBorder="1" applyAlignment="1">
      <alignment horizontal="center" vertical="center"/>
    </xf>
    <xf numFmtId="164" fontId="7" fillId="7" borderId="64" xfId="0" applyFont="1" applyFill="1" applyBorder="1" applyAlignment="1">
      <alignment horizontal="center" vertical="center"/>
    </xf>
    <xf numFmtId="164" fontId="7" fillId="7" borderId="64" xfId="0" applyFont="1" applyFill="1" applyBorder="1" applyAlignment="1">
      <alignment horizontal="center" vertical="center" wrapText="1"/>
    </xf>
    <xf numFmtId="164" fontId="7" fillId="7" borderId="138" xfId="0" applyFont="1" applyFill="1" applyBorder="1" applyAlignment="1">
      <alignment horizontal="center" vertical="center"/>
    </xf>
    <xf numFmtId="164" fontId="32" fillId="38" borderId="1" xfId="0" applyFont="1" applyFill="1" applyBorder="1" applyAlignment="1">
      <alignment horizontal="center" vertical="center" wrapText="1"/>
    </xf>
    <xf numFmtId="164" fontId="41" fillId="41" borderId="51" xfId="0" applyFont="1" applyFill="1" applyBorder="1" applyAlignment="1">
      <alignment horizontal="center" vertical="center"/>
    </xf>
    <xf numFmtId="164" fontId="20" fillId="0" borderId="0" xfId="0" applyFont="1" applyAlignment="1">
      <alignment/>
    </xf>
    <xf numFmtId="164" fontId="50" fillId="0" borderId="37" xfId="0" applyFont="1" applyBorder="1" applyAlignment="1">
      <alignment horizontal="center" vertical="center"/>
    </xf>
    <xf numFmtId="164" fontId="0" fillId="0" borderId="161" xfId="0" applyBorder="1" applyAlignment="1">
      <alignment/>
    </xf>
    <xf numFmtId="164" fontId="0" fillId="0" borderId="162" xfId="0" applyBorder="1" applyAlignment="1">
      <alignment/>
    </xf>
    <xf numFmtId="164" fontId="13" fillId="6" borderId="161" xfId="0" applyFont="1" applyFill="1" applyBorder="1" applyAlignment="1">
      <alignment horizontal="center" vertical="center"/>
    </xf>
    <xf numFmtId="164" fontId="13" fillId="4" borderId="145" xfId="0" applyFont="1" applyFill="1" applyBorder="1" applyAlignment="1">
      <alignment horizontal="center" vertical="center"/>
    </xf>
    <xf numFmtId="164" fontId="13" fillId="23" borderId="162" xfId="0" applyFont="1" applyFill="1" applyBorder="1" applyAlignment="1">
      <alignment horizontal="center" vertical="center"/>
    </xf>
    <xf numFmtId="164" fontId="13" fillId="14" borderId="162" xfId="0" applyFont="1" applyFill="1" applyBorder="1" applyAlignment="1">
      <alignment horizontal="center" vertical="center"/>
    </xf>
    <xf numFmtId="164" fontId="51" fillId="16" borderId="162" xfId="0" applyFont="1" applyFill="1" applyBorder="1" applyAlignment="1">
      <alignment horizontal="center" vertical="center"/>
    </xf>
    <xf numFmtId="164" fontId="51" fillId="9" borderId="162" xfId="0" applyFont="1" applyFill="1" applyBorder="1" applyAlignment="1">
      <alignment horizontal="center" vertical="center"/>
    </xf>
    <xf numFmtId="164" fontId="51" fillId="53" borderId="162" xfId="0" applyFont="1" applyFill="1" applyBorder="1" applyAlignment="1">
      <alignment horizontal="center" vertical="center"/>
    </xf>
    <xf numFmtId="164" fontId="52" fillId="22" borderId="145" xfId="0" applyFont="1" applyFill="1" applyBorder="1" applyAlignment="1">
      <alignment horizontal="center" vertical="center" wrapText="1"/>
    </xf>
    <xf numFmtId="164" fontId="0" fillId="0" borderId="158" xfId="0" applyBorder="1" applyAlignment="1">
      <alignment/>
    </xf>
    <xf numFmtId="164" fontId="0" fillId="0" borderId="94" xfId="0" applyBorder="1" applyAlignment="1">
      <alignment/>
    </xf>
    <xf numFmtId="164" fontId="13" fillId="0" borderId="94" xfId="0" applyFont="1" applyBorder="1" applyAlignment="1">
      <alignment horizontal="center"/>
    </xf>
    <xf numFmtId="164" fontId="13" fillId="0" borderId="153" xfId="0" applyFont="1" applyBorder="1" applyAlignment="1">
      <alignment horizontal="center"/>
    </xf>
    <xf numFmtId="164" fontId="52" fillId="0" borderId="94" xfId="0" applyFont="1" applyBorder="1" applyAlignment="1">
      <alignment/>
    </xf>
    <xf numFmtId="164" fontId="0" fillId="0" borderId="158" xfId="0" applyFont="1" applyBorder="1" applyAlignment="1">
      <alignment horizontal="center" vertical="center" wrapText="1"/>
    </xf>
    <xf numFmtId="164" fontId="0" fillId="0" borderId="153" xfId="0" applyFont="1" applyBorder="1" applyAlignment="1">
      <alignment/>
    </xf>
    <xf numFmtId="164" fontId="53" fillId="0" borderId="158" xfId="0" applyFont="1" applyBorder="1" applyAlignment="1">
      <alignment horizontal="center"/>
    </xf>
    <xf numFmtId="164" fontId="53" fillId="0" borderId="94" xfId="0" applyFont="1" applyBorder="1" applyAlignment="1">
      <alignment horizontal="center"/>
    </xf>
    <xf numFmtId="164" fontId="53" fillId="0" borderId="153" xfId="0" applyFont="1" applyBorder="1" applyAlignment="1">
      <alignment horizontal="center"/>
    </xf>
    <xf numFmtId="177" fontId="53" fillId="0" borderId="153" xfId="0" applyNumberFormat="1" applyFont="1" applyBorder="1" applyAlignment="1">
      <alignment horizontal="center"/>
    </xf>
    <xf numFmtId="164" fontId="52" fillId="41" borderId="94" xfId="0" applyFont="1" applyFill="1" applyBorder="1" applyAlignment="1">
      <alignment/>
    </xf>
    <xf numFmtId="167" fontId="53" fillId="0" borderId="158" xfId="0" applyNumberFormat="1" applyFont="1" applyBorder="1" applyAlignment="1">
      <alignment horizontal="center"/>
    </xf>
    <xf numFmtId="167" fontId="53" fillId="0" borderId="94" xfId="0" applyNumberFormat="1" applyFont="1" applyBorder="1" applyAlignment="1">
      <alignment horizontal="center"/>
    </xf>
    <xf numFmtId="167" fontId="53" fillId="0" borderId="153" xfId="0" applyNumberFormat="1" applyFont="1" applyBorder="1" applyAlignment="1">
      <alignment horizontal="center"/>
    </xf>
    <xf numFmtId="167" fontId="52" fillId="0" borderId="94" xfId="0" applyNumberFormat="1" applyFont="1" applyBorder="1" applyAlignment="1">
      <alignment horizontal="center"/>
    </xf>
    <xf numFmtId="164" fontId="0" fillId="0" borderId="158" xfId="0" applyBorder="1" applyAlignment="1">
      <alignment horizontal="center"/>
    </xf>
    <xf numFmtId="164" fontId="52" fillId="0" borderId="94" xfId="0" applyFont="1" applyBorder="1" applyAlignment="1">
      <alignment horizontal="center"/>
    </xf>
    <xf numFmtId="164" fontId="52" fillId="41" borderId="94" xfId="0" applyFont="1" applyFill="1" applyBorder="1" applyAlignment="1">
      <alignment horizontal="center"/>
    </xf>
    <xf numFmtId="185" fontId="0" fillId="0" borderId="0" xfId="0" applyNumberFormat="1" applyAlignment="1">
      <alignment/>
    </xf>
    <xf numFmtId="164" fontId="0" fillId="0" borderId="0" xfId="0" applyBorder="1" applyAlignment="1">
      <alignment wrapText="1"/>
    </xf>
    <xf numFmtId="164" fontId="54" fillId="0" borderId="153" xfId="0" applyFont="1" applyBorder="1" applyAlignment="1">
      <alignment wrapText="1"/>
    </xf>
    <xf numFmtId="164" fontId="54" fillId="0" borderId="64" xfId="0" applyFont="1" applyBorder="1" applyAlignment="1">
      <alignment wrapText="1"/>
    </xf>
    <xf numFmtId="164" fontId="52" fillId="0" borderId="153" xfId="0" applyFont="1" applyBorder="1" applyAlignment="1">
      <alignment wrapText="1"/>
    </xf>
    <xf numFmtId="164" fontId="52" fillId="0" borderId="64" xfId="0" applyFont="1" applyBorder="1" applyAlignment="1">
      <alignment wrapText="1"/>
    </xf>
    <xf numFmtId="164" fontId="54" fillId="0" borderId="82" xfId="0" applyFont="1" applyBorder="1" applyAlignment="1">
      <alignment wrapText="1"/>
    </xf>
    <xf numFmtId="164" fontId="0" fillId="6" borderId="15" xfId="0" applyFont="1" applyFill="1" applyBorder="1" applyAlignment="1">
      <alignment horizontal="center"/>
    </xf>
    <xf numFmtId="164" fontId="0" fillId="6" borderId="54" xfId="0" applyFont="1" applyFill="1" applyBorder="1" applyAlignment="1">
      <alignment/>
    </xf>
    <xf numFmtId="164" fontId="53" fillId="6" borderId="158" xfId="0" applyFont="1" applyFill="1" applyBorder="1" applyAlignment="1">
      <alignment horizontal="center"/>
    </xf>
    <xf numFmtId="164" fontId="53" fillId="6" borderId="94" xfId="0" applyFont="1" applyFill="1" applyBorder="1" applyAlignment="1">
      <alignment horizontal="center"/>
    </xf>
    <xf numFmtId="177" fontId="53" fillId="6" borderId="153" xfId="0" applyNumberFormat="1" applyFont="1" applyFill="1" applyBorder="1" applyAlignment="1">
      <alignment horizontal="center"/>
    </xf>
    <xf numFmtId="164" fontId="0" fillId="6" borderId="36" xfId="0" applyFill="1" applyBorder="1" applyAlignment="1">
      <alignment/>
    </xf>
    <xf numFmtId="164" fontId="0" fillId="6" borderId="57" xfId="0" applyFont="1" applyFill="1" applyBorder="1" applyAlignment="1">
      <alignment/>
    </xf>
    <xf numFmtId="167" fontId="53" fillId="6" borderId="163" xfId="0" applyNumberFormat="1" applyFont="1" applyFill="1" applyBorder="1" applyAlignment="1">
      <alignment/>
    </xf>
    <xf numFmtId="167" fontId="53" fillId="6" borderId="147" xfId="0" applyNumberFormat="1" applyFont="1" applyFill="1" applyBorder="1" applyAlignment="1">
      <alignment/>
    </xf>
    <xf numFmtId="167" fontId="52" fillId="6" borderId="147" xfId="0" applyNumberFormat="1" applyFont="1" applyFill="1" applyBorder="1" applyAlignment="1">
      <alignment horizontal="center"/>
    </xf>
    <xf numFmtId="164" fontId="55" fillId="0" borderId="0" xfId="0" applyFont="1" applyAlignment="1">
      <alignment/>
    </xf>
    <xf numFmtId="164" fontId="14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7" fontId="14" fillId="0" borderId="0" xfId="0" applyNumberFormat="1" applyFont="1" applyAlignment="1">
      <alignment/>
    </xf>
    <xf numFmtId="167" fontId="1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ur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7F7F00"/>
      <rgbColor rgb="007F4C00"/>
      <rgbColor rgb="00007F00"/>
      <rgbColor rgb="00262672"/>
      <rgbColor rgb="00808000"/>
      <rgbColor rgb="00800080"/>
      <rgbColor rgb="00196666"/>
      <rgbColor rgb="00C0C0C0"/>
      <rgbColor rgb="00808080"/>
      <rgbColor rgb="009999BF"/>
      <rgbColor rgb="00993366"/>
      <rgbColor rgb="00EFEFEF"/>
      <rgbColor rgb="00CCFFFF"/>
      <rgbColor rgb="00600060"/>
      <rgbColor rgb="00FF8080"/>
      <rgbColor rgb="000066CC"/>
      <rgbColor rgb="00CCCCFF"/>
      <rgbColor rgb="007F6600"/>
      <rgbColor rgb="009972BF"/>
      <rgbColor rgb="00BF9900"/>
      <rgbColor rgb="00BF7200"/>
      <rgbColor rgb="00BF6060"/>
      <rgbColor rgb="00BF4C00"/>
      <rgbColor rgb="00269999"/>
      <rgbColor rgb="007F7F7F"/>
      <rgbColor rgb="0000BF00"/>
      <rgbColor rgb="0099BFBF"/>
      <rgbColor rgb="00DFDFDF"/>
      <rgbColor rgb="00FFFF99"/>
      <rgbColor rgb="0099CCFF"/>
      <rgbColor rgb="00FF99CC"/>
      <rgbColor rgb="00CC99FF"/>
      <rgbColor rgb="00BFBFBF"/>
      <rgbColor rgb="007299BF"/>
      <rgbColor rgb="0033CCCC"/>
      <rgbColor rgb="00BFBF72"/>
      <rgbColor rgb="00FFCC00"/>
      <rgbColor rgb="00FF9900"/>
      <rgbColor rgb="00FF6600"/>
      <rgbColor rgb="0066667F"/>
      <rgbColor rgb="00969696"/>
      <rgbColor rgb="0000346A"/>
      <rgbColor rgb="00339966"/>
      <rgbColor rgb="00606000"/>
      <rgbColor rgb="00404000"/>
      <rgbColor rgb="00993300"/>
      <rgbColor rgb="00664C7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rection\AppData\Local\Microsoft\Windows\INetCache\Content.Outlook\C9VCL2NK\SYNTHESE%20SUIVI%20ACHATS%20VENTES%20BOUTIQUE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rection\AppData\Local\Microsoft\Windows\INetCache\Content.Outlook\C9VCL2NK\Achats%20Ventes%20ann&#233;es%20pr&#233;c&#233;dentes%20Chalosses%20Tursan\Bilan%20SS%20et%20Hag%20envoy&#233;%20&#224;%20Exco%20le%202701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rection\AppData\Local\Microsoft\Windows\INetCache\Content.Outlook\C9VCL2NK\Achats%20Ventes%20ann&#233;es%20pr&#233;c&#233;dentes%20Chalosses%20Tursan\SYNTHESE%20SUIVI%20ACHATS%20VENTES%20BOUTIQUE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rection\AppData\Local\Microsoft\Windows\INetCache\Content.Outlook\C9VCL2NK\Achats%20Ventes%20ann&#233;es%20pr&#233;c&#233;dentes%20Chalosses%20Tursan\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rection\AppData\Local\Microsoft\Windows\INetCache\Content.Outlook\C9VCL2NK\Achats%20Ventes%20ann&#233;es%20pr&#233;c&#233;dentes%20Chalosses%20Tursan\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rection\AppData\Local\Microsoft\Windows\INetCache\Content.Outlook\C9VCL2NK\Achats%20Ventes%20ann&#233;es%20pr&#233;c&#233;dentes%20Chalosses%20Tursan\20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rection\AppData\Local\Microsoft\Windows\INetCache\Content.Outlook\C9VCL2NK\Achats%20Ventes%20ann&#233;es%20pr&#233;c&#233;dentes%20Chalosses%20Tursan\2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rection\AppData\Local\Microsoft\Windows\INetCache\Content.Outlook\C9VCL2NK\Achats%20Ventes%20ann&#233;es%20pr&#233;c&#233;dentes%20Chalosses%20Tursan\SYNTHESE%20SUIVI%20ACHATS%20VENTES%20BOUTIQUE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ande Alimentaire"/>
      <sheetName val="Commande Souvenirs, librairie"/>
      <sheetName val="Ventes Hagetmau"/>
      <sheetName val=" Ventes St Sever"/>
      <sheetName val="Vente Samadet"/>
      <sheetName val="Vente geaune"/>
      <sheetName val="Ventes Musée SS"/>
      <sheetName val="Vente Crypte"/>
      <sheetName val="Fonds de Caisse"/>
      <sheetName val=" Général st sever"/>
      <sheetName val="Bilan"/>
    </sheetNames>
    <sheetDataSet>
      <sheetData sheetId="0">
        <row r="45">
          <cell r="F45">
            <v>4</v>
          </cell>
        </row>
        <row r="46">
          <cell r="E46">
            <v>17</v>
          </cell>
        </row>
        <row r="47">
          <cell r="E47">
            <v>2.55</v>
          </cell>
        </row>
        <row r="49">
          <cell r="E49">
            <v>6.45</v>
          </cell>
        </row>
        <row r="50">
          <cell r="E50">
            <v>6.02</v>
          </cell>
        </row>
        <row r="51">
          <cell r="E51">
            <v>13.76</v>
          </cell>
        </row>
        <row r="58">
          <cell r="E58">
            <v>2.124</v>
          </cell>
        </row>
        <row r="59">
          <cell r="E59">
            <v>2.148</v>
          </cell>
        </row>
        <row r="60">
          <cell r="E60">
            <v>2.28</v>
          </cell>
        </row>
        <row r="61">
          <cell r="E61">
            <v>2.244</v>
          </cell>
        </row>
        <row r="62">
          <cell r="E62">
            <v>2.148</v>
          </cell>
        </row>
        <row r="67">
          <cell r="E67">
            <v>16.5</v>
          </cell>
        </row>
        <row r="68">
          <cell r="E68">
            <v>5.76</v>
          </cell>
        </row>
        <row r="69">
          <cell r="E69">
            <v>3.36</v>
          </cell>
        </row>
      </sheetData>
      <sheetData sheetId="1">
        <row r="3">
          <cell r="F3">
            <v>1.8</v>
          </cell>
        </row>
        <row r="4">
          <cell r="F4">
            <v>4.5</v>
          </cell>
        </row>
        <row r="5">
          <cell r="F5">
            <v>1</v>
          </cell>
        </row>
        <row r="6">
          <cell r="F6">
            <v>4</v>
          </cell>
        </row>
        <row r="23">
          <cell r="F23">
            <v>10</v>
          </cell>
        </row>
        <row r="27">
          <cell r="F27">
            <v>2</v>
          </cell>
        </row>
        <row r="28">
          <cell r="F28">
            <v>5</v>
          </cell>
        </row>
        <row r="29">
          <cell r="F29">
            <v>7</v>
          </cell>
        </row>
        <row r="30">
          <cell r="F30">
            <v>1.8</v>
          </cell>
        </row>
        <row r="32">
          <cell r="F32">
            <v>5.4</v>
          </cell>
        </row>
        <row r="33">
          <cell r="F33">
            <v>6</v>
          </cell>
        </row>
        <row r="34">
          <cell r="F34">
            <v>2.9400000000000004</v>
          </cell>
        </row>
        <row r="35">
          <cell r="F35">
            <v>1.5</v>
          </cell>
        </row>
        <row r="36">
          <cell r="F36">
            <v>3.42</v>
          </cell>
        </row>
        <row r="38">
          <cell r="F38">
            <v>1.8</v>
          </cell>
        </row>
        <row r="39">
          <cell r="F39">
            <v>7.319999999999999</v>
          </cell>
        </row>
        <row r="40">
          <cell r="F40">
            <v>1.2</v>
          </cell>
        </row>
        <row r="41">
          <cell r="F41">
            <v>0.48000000000000004</v>
          </cell>
        </row>
        <row r="42">
          <cell r="F42">
            <v>3.6</v>
          </cell>
        </row>
        <row r="43">
          <cell r="F43">
            <v>1.86</v>
          </cell>
        </row>
        <row r="44">
          <cell r="F44">
            <v>1.32</v>
          </cell>
        </row>
        <row r="47">
          <cell r="F47">
            <v>1.86</v>
          </cell>
        </row>
        <row r="66">
          <cell r="F66">
            <v>2</v>
          </cell>
        </row>
        <row r="67">
          <cell r="F67">
            <v>2</v>
          </cell>
        </row>
        <row r="68">
          <cell r="F68">
            <v>3</v>
          </cell>
        </row>
        <row r="70">
          <cell r="F70">
            <v>5</v>
          </cell>
        </row>
        <row r="72">
          <cell r="F72">
            <v>12</v>
          </cell>
        </row>
        <row r="73">
          <cell r="F73">
            <v>16.919999999999998</v>
          </cell>
        </row>
        <row r="74">
          <cell r="F74">
            <v>16.919999999999998</v>
          </cell>
        </row>
        <row r="75">
          <cell r="F75">
            <v>3.6</v>
          </cell>
        </row>
        <row r="76">
          <cell r="F76">
            <v>2.52</v>
          </cell>
        </row>
        <row r="77">
          <cell r="F77">
            <v>9.996</v>
          </cell>
        </row>
        <row r="78">
          <cell r="F78">
            <v>6</v>
          </cell>
        </row>
        <row r="80">
          <cell r="F80">
            <v>7.02</v>
          </cell>
        </row>
        <row r="81">
          <cell r="F81">
            <v>16.919999999999998</v>
          </cell>
        </row>
        <row r="82">
          <cell r="F82">
            <v>7.8</v>
          </cell>
        </row>
        <row r="83">
          <cell r="F83">
            <v>7.5</v>
          </cell>
        </row>
        <row r="85">
          <cell r="F85">
            <v>21</v>
          </cell>
        </row>
        <row r="105">
          <cell r="F105">
            <v>9.732</v>
          </cell>
        </row>
        <row r="106">
          <cell r="F106">
            <v>9.800949999999998</v>
          </cell>
        </row>
        <row r="107">
          <cell r="F107">
            <v>2.73245</v>
          </cell>
        </row>
        <row r="108">
          <cell r="F108">
            <v>15.4</v>
          </cell>
        </row>
        <row r="109">
          <cell r="F109">
            <v>12.2</v>
          </cell>
        </row>
        <row r="110">
          <cell r="F110">
            <v>10.23</v>
          </cell>
        </row>
        <row r="111">
          <cell r="F111">
            <v>3.12</v>
          </cell>
        </row>
        <row r="112">
          <cell r="F112">
            <v>3.35</v>
          </cell>
        </row>
        <row r="113">
          <cell r="F113">
            <v>3.2</v>
          </cell>
        </row>
        <row r="114">
          <cell r="F114">
            <v>3.12</v>
          </cell>
        </row>
        <row r="115">
          <cell r="F115">
            <v>6.61</v>
          </cell>
        </row>
        <row r="116">
          <cell r="F116">
            <v>2.44</v>
          </cell>
        </row>
        <row r="117">
          <cell r="F117">
            <v>8.33</v>
          </cell>
        </row>
        <row r="118">
          <cell r="F118">
            <v>3</v>
          </cell>
        </row>
        <row r="119">
          <cell r="F119">
            <v>11.89</v>
          </cell>
        </row>
        <row r="134">
          <cell r="G134">
            <v>6.9</v>
          </cell>
        </row>
        <row r="135">
          <cell r="F135">
            <v>0.12000000000000001</v>
          </cell>
        </row>
        <row r="136">
          <cell r="F136">
            <v>0.3</v>
          </cell>
        </row>
        <row r="137">
          <cell r="F137">
            <v>1.5</v>
          </cell>
        </row>
        <row r="138">
          <cell r="F138">
            <v>0.15</v>
          </cell>
        </row>
        <row r="139">
          <cell r="F139">
            <v>0.15</v>
          </cell>
        </row>
        <row r="153">
          <cell r="F153">
            <v>2.1100000000000003</v>
          </cell>
        </row>
        <row r="154">
          <cell r="F154">
            <v>1.6102</v>
          </cell>
        </row>
        <row r="155">
          <cell r="F155">
            <v>27.85</v>
          </cell>
        </row>
        <row r="156">
          <cell r="F156">
            <v>5.808000000000001</v>
          </cell>
        </row>
        <row r="158">
          <cell r="F158">
            <v>12</v>
          </cell>
        </row>
        <row r="159">
          <cell r="F159">
            <v>9</v>
          </cell>
        </row>
        <row r="160">
          <cell r="F160">
            <v>9</v>
          </cell>
        </row>
        <row r="161">
          <cell r="F161">
            <v>4.19</v>
          </cell>
        </row>
        <row r="162">
          <cell r="F162">
            <v>0.88</v>
          </cell>
        </row>
        <row r="163">
          <cell r="F163">
            <v>0.88</v>
          </cell>
        </row>
        <row r="164">
          <cell r="F164">
            <v>0.88</v>
          </cell>
        </row>
        <row r="165">
          <cell r="F165">
            <v>0.88</v>
          </cell>
        </row>
        <row r="166">
          <cell r="F166">
            <v>0.88</v>
          </cell>
        </row>
        <row r="167">
          <cell r="F167">
            <v>0.312</v>
          </cell>
        </row>
        <row r="168">
          <cell r="F168">
            <v>0.48</v>
          </cell>
        </row>
        <row r="169">
          <cell r="F169">
            <v>4.43</v>
          </cell>
        </row>
        <row r="171">
          <cell r="F171">
            <v>5.99</v>
          </cell>
        </row>
        <row r="173">
          <cell r="F173">
            <v>26.7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ande Alimentaire"/>
      <sheetName val="Commande Souvenirs, librairie"/>
      <sheetName val="Ventes Hagetmau"/>
      <sheetName val="Ventes St Sever"/>
    </sheetNames>
    <sheetDataSet>
      <sheetData sheetId="3">
        <row r="13">
          <cell r="AD13">
            <v>3.336492890995261</v>
          </cell>
        </row>
        <row r="30">
          <cell r="AD30">
            <v>4.95</v>
          </cell>
        </row>
        <row r="31">
          <cell r="AD31">
            <v>4.95</v>
          </cell>
        </row>
        <row r="33">
          <cell r="AD33">
            <v>10</v>
          </cell>
        </row>
        <row r="34">
          <cell r="AD34">
            <v>4</v>
          </cell>
        </row>
        <row r="35">
          <cell r="AD35">
            <v>6.67</v>
          </cell>
        </row>
        <row r="38">
          <cell r="AD38">
            <v>6.2</v>
          </cell>
        </row>
        <row r="84">
          <cell r="AD84">
            <v>2</v>
          </cell>
        </row>
        <row r="85">
          <cell r="AD85">
            <v>2</v>
          </cell>
        </row>
        <row r="86">
          <cell r="AD86">
            <v>3</v>
          </cell>
        </row>
        <row r="92">
          <cell r="AD92">
            <v>7</v>
          </cell>
        </row>
        <row r="96">
          <cell r="AD96">
            <v>5</v>
          </cell>
        </row>
        <row r="102">
          <cell r="AD102">
            <v>14.1</v>
          </cell>
        </row>
        <row r="103">
          <cell r="AD103">
            <v>14.1</v>
          </cell>
        </row>
        <row r="104">
          <cell r="AD104">
            <v>9.95</v>
          </cell>
        </row>
        <row r="107">
          <cell r="AD107">
            <v>2.67</v>
          </cell>
        </row>
        <row r="108">
          <cell r="AD108">
            <v>5.85</v>
          </cell>
        </row>
        <row r="109">
          <cell r="AD109">
            <v>8.33</v>
          </cell>
        </row>
        <row r="111">
          <cell r="AD111">
            <v>14.1</v>
          </cell>
        </row>
        <row r="130">
          <cell r="AD130">
            <v>1.182</v>
          </cell>
        </row>
        <row r="131">
          <cell r="AD131">
            <v>1.182</v>
          </cell>
        </row>
        <row r="132">
          <cell r="AD132">
            <v>1.182</v>
          </cell>
        </row>
        <row r="133">
          <cell r="AD133">
            <v>1.182</v>
          </cell>
        </row>
        <row r="134">
          <cell r="AD134">
            <v>1.182</v>
          </cell>
        </row>
        <row r="135">
          <cell r="AD135">
            <v>1.182</v>
          </cell>
        </row>
        <row r="136">
          <cell r="AD136">
            <v>1.182</v>
          </cell>
        </row>
        <row r="137">
          <cell r="AD137">
            <v>1.182</v>
          </cell>
        </row>
        <row r="139">
          <cell r="AD139">
            <v>1.182</v>
          </cell>
        </row>
        <row r="140">
          <cell r="AD140">
            <v>1.182</v>
          </cell>
        </row>
        <row r="141">
          <cell r="AD141">
            <v>1.182</v>
          </cell>
        </row>
        <row r="142">
          <cell r="AD142">
            <v>1.182</v>
          </cell>
        </row>
        <row r="175">
          <cell r="AD175">
            <v>3.4</v>
          </cell>
        </row>
        <row r="176">
          <cell r="AD176">
            <v>3.05</v>
          </cell>
        </row>
        <row r="207">
          <cell r="AD207">
            <v>2.1</v>
          </cell>
        </row>
        <row r="208">
          <cell r="AD208">
            <v>1.79</v>
          </cell>
        </row>
        <row r="210">
          <cell r="AD210">
            <v>2.1</v>
          </cell>
        </row>
        <row r="211">
          <cell r="AD211">
            <v>1.79</v>
          </cell>
        </row>
        <row r="213">
          <cell r="AD213">
            <v>4.8</v>
          </cell>
        </row>
        <row r="233">
          <cell r="AD233">
            <v>0.76</v>
          </cell>
        </row>
        <row r="234">
          <cell r="AD234">
            <v>0.76</v>
          </cell>
        </row>
        <row r="235">
          <cell r="AD235">
            <v>0.76</v>
          </cell>
        </row>
        <row r="236">
          <cell r="AD236">
            <v>0.76</v>
          </cell>
        </row>
        <row r="237">
          <cell r="AD237">
            <v>8.33</v>
          </cell>
        </row>
        <row r="238">
          <cell r="AD238">
            <v>6.95</v>
          </cell>
        </row>
        <row r="239">
          <cell r="AD239">
            <v>2.92</v>
          </cell>
        </row>
        <row r="240">
          <cell r="AD240">
            <v>3.5</v>
          </cell>
        </row>
        <row r="242">
          <cell r="AD242">
            <v>2.92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mande Alimentaire"/>
      <sheetName val="Commande Souvenirs, librairie"/>
      <sheetName val="Ventes Hagetmau"/>
      <sheetName val=" Ventes St Sever"/>
      <sheetName val="Vente Samadet"/>
      <sheetName val="Vente geaune"/>
      <sheetName val="Ventes Musée SS"/>
      <sheetName val="Vente Crypte"/>
      <sheetName val="Fonds de Caisse"/>
      <sheetName val=" Général st sever"/>
      <sheetName val="Bilan"/>
    </sheetNames>
    <sheetDataSet>
      <sheetData sheetId="0">
        <row r="5">
          <cell r="E5">
            <v>4.46</v>
          </cell>
        </row>
        <row r="13">
          <cell r="E13">
            <v>3.52</v>
          </cell>
        </row>
        <row r="14">
          <cell r="E14">
            <v>3.66</v>
          </cell>
        </row>
        <row r="21">
          <cell r="E21">
            <v>6.3</v>
          </cell>
        </row>
        <row r="27">
          <cell r="E27">
            <v>3.7319999999999998</v>
          </cell>
        </row>
        <row r="29">
          <cell r="E29">
            <v>3.7319999999999998</v>
          </cell>
        </row>
        <row r="30">
          <cell r="E30">
            <v>3.3700799999999997</v>
          </cell>
        </row>
        <row r="34">
          <cell r="E34">
            <v>3.7319999999999998</v>
          </cell>
        </row>
        <row r="35">
          <cell r="E35">
            <v>2.76</v>
          </cell>
        </row>
        <row r="38">
          <cell r="E38">
            <v>4.8</v>
          </cell>
        </row>
        <row r="44">
          <cell r="E44">
            <v>6</v>
          </cell>
        </row>
        <row r="68">
          <cell r="E68">
            <v>5.76</v>
          </cell>
        </row>
      </sheetData>
      <sheetData sheetId="1">
        <row r="35">
          <cell r="F35">
            <v>1.5</v>
          </cell>
        </row>
        <row r="36">
          <cell r="F36">
            <v>3.42</v>
          </cell>
        </row>
        <row r="41">
          <cell r="F41">
            <v>0.48000000000000004</v>
          </cell>
        </row>
        <row r="42">
          <cell r="F42">
            <v>3.6</v>
          </cell>
        </row>
        <row r="43">
          <cell r="F43">
            <v>1.86</v>
          </cell>
        </row>
        <row r="76">
          <cell r="F76">
            <v>2.52</v>
          </cell>
        </row>
        <row r="80">
          <cell r="F80">
            <v>7.02</v>
          </cell>
        </row>
        <row r="81">
          <cell r="F81">
            <v>16.919999999999998</v>
          </cell>
        </row>
        <row r="86">
          <cell r="F86">
            <v>8.04</v>
          </cell>
        </row>
        <row r="91">
          <cell r="F91">
            <v>12.5</v>
          </cell>
        </row>
        <row r="97">
          <cell r="F97">
            <v>3.54</v>
          </cell>
        </row>
        <row r="98">
          <cell r="F98">
            <v>7</v>
          </cell>
        </row>
        <row r="108">
          <cell r="F108">
            <v>15.4</v>
          </cell>
        </row>
        <row r="109">
          <cell r="F109">
            <v>12.2</v>
          </cell>
        </row>
        <row r="110">
          <cell r="F110">
            <v>10.23</v>
          </cell>
        </row>
        <row r="113">
          <cell r="F113">
            <v>3.24</v>
          </cell>
        </row>
        <row r="114">
          <cell r="F114">
            <v>3.12</v>
          </cell>
        </row>
        <row r="123">
          <cell r="F123">
            <v>0.13</v>
          </cell>
        </row>
        <row r="135">
          <cell r="F135">
            <v>0.12000000000000001</v>
          </cell>
        </row>
        <row r="136">
          <cell r="F136">
            <v>0.3</v>
          </cell>
        </row>
        <row r="158">
          <cell r="F158">
            <v>12</v>
          </cell>
        </row>
        <row r="159">
          <cell r="F159">
            <v>9</v>
          </cell>
        </row>
        <row r="160">
          <cell r="F160">
            <v>9</v>
          </cell>
        </row>
        <row r="161">
          <cell r="F161">
            <v>4.19</v>
          </cell>
        </row>
        <row r="163">
          <cell r="F163">
            <v>0.88</v>
          </cell>
        </row>
        <row r="166">
          <cell r="F166">
            <v>0.88</v>
          </cell>
        </row>
        <row r="169">
          <cell r="F169">
            <v>4.43</v>
          </cell>
        </row>
        <row r="170">
          <cell r="F170">
            <v>13.9682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au général"/>
      <sheetName val="Selection avril-juin"/>
      <sheetName val="Selection juillet"/>
      <sheetName val="Selection aout"/>
      <sheetName val="Selection septembre"/>
      <sheetName val="Selection Octobre"/>
      <sheetName val="Selection Novembre "/>
      <sheetName val="Selection Décembre"/>
      <sheetName val="Ventes"/>
      <sheetName val="Bilan"/>
      <sheetName val="Pdts Lafitte"/>
      <sheetName val="Idées 2014"/>
    </sheetNames>
    <sheetDataSet>
      <sheetData sheetId="8">
        <row r="74">
          <cell r="E74">
            <v>17</v>
          </cell>
          <cell r="F74">
            <v>63.4</v>
          </cell>
          <cell r="H74">
            <v>20</v>
          </cell>
          <cell r="I74">
            <v>66.2</v>
          </cell>
          <cell r="K74">
            <v>14</v>
          </cell>
          <cell r="L74">
            <v>66.8</v>
          </cell>
          <cell r="N74">
            <v>27</v>
          </cell>
          <cell r="O74">
            <v>35.800000000000004</v>
          </cell>
          <cell r="Q74">
            <v>50</v>
          </cell>
          <cell r="R74">
            <v>73.5</v>
          </cell>
          <cell r="T74">
            <v>55</v>
          </cell>
          <cell r="U74">
            <v>172.89999999999998</v>
          </cell>
          <cell r="W74">
            <v>132</v>
          </cell>
          <cell r="X74">
            <v>538.25</v>
          </cell>
          <cell r="Z74">
            <v>230</v>
          </cell>
          <cell r="AA74">
            <v>717.15</v>
          </cell>
          <cell r="AC74">
            <v>92</v>
          </cell>
          <cell r="AD74">
            <v>330.59999999999997</v>
          </cell>
          <cell r="AF74">
            <v>70</v>
          </cell>
          <cell r="AG74">
            <v>240.35</v>
          </cell>
          <cell r="AI74">
            <v>78</v>
          </cell>
          <cell r="AJ74">
            <v>395.09999999999997</v>
          </cell>
          <cell r="AL74">
            <v>36</v>
          </cell>
          <cell r="AM74">
            <v>135.5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au général"/>
      <sheetName val="Janvier "/>
      <sheetName val="Février"/>
      <sheetName val="Mars "/>
      <sheetName val=" Avril "/>
      <sheetName val="Mai"/>
      <sheetName val="Juin"/>
      <sheetName val="Juillet "/>
      <sheetName val="Aout"/>
      <sheetName val="Septembre"/>
      <sheetName val="Octobre"/>
      <sheetName val="Novembre"/>
      <sheetName val="Décembre"/>
      <sheetName val="Ventes"/>
      <sheetName val="Achats "/>
      <sheetName val="Bilan"/>
    </sheetNames>
    <sheetDataSet>
      <sheetData sheetId="13">
        <row r="119">
          <cell r="E119">
            <v>58</v>
          </cell>
          <cell r="F119">
            <v>223.25</v>
          </cell>
          <cell r="H119">
            <v>24</v>
          </cell>
          <cell r="I119">
            <v>80.2</v>
          </cell>
          <cell r="K119">
            <v>24</v>
          </cell>
          <cell r="L119">
            <v>110.69999999999999</v>
          </cell>
          <cell r="N119">
            <v>46</v>
          </cell>
          <cell r="O119">
            <v>199.45</v>
          </cell>
          <cell r="Q119">
            <v>68</v>
          </cell>
          <cell r="R119">
            <v>311.24999999999994</v>
          </cell>
          <cell r="T119">
            <v>120</v>
          </cell>
          <cell r="U119">
            <v>488.4</v>
          </cell>
          <cell r="W119">
            <v>188</v>
          </cell>
          <cell r="X119">
            <v>907.6999999999999</v>
          </cell>
          <cell r="Z119">
            <v>370</v>
          </cell>
          <cell r="AA119">
            <v>1621.8000000000004</v>
          </cell>
          <cell r="AC119">
            <v>81</v>
          </cell>
          <cell r="AD119">
            <v>449.2</v>
          </cell>
          <cell r="AF119">
            <v>72</v>
          </cell>
          <cell r="AG119">
            <v>424.5</v>
          </cell>
          <cell r="AI119">
            <v>80</v>
          </cell>
          <cell r="AJ119">
            <v>522.5500000000001</v>
          </cell>
          <cell r="AL119">
            <v>66</v>
          </cell>
          <cell r="AM119">
            <v>511.8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ier "/>
      <sheetName val="Février"/>
      <sheetName val="Mars "/>
      <sheetName val="Avril"/>
      <sheetName val="Mai "/>
      <sheetName val="Juin"/>
      <sheetName val="Juillet"/>
      <sheetName val="Août"/>
      <sheetName val="Septembre"/>
      <sheetName val="Octobre"/>
      <sheetName val="Novembre"/>
      <sheetName val="Décembre"/>
      <sheetName val="Ventes"/>
      <sheetName val="Achats et Stocks"/>
      <sheetName val="Bilan"/>
      <sheetName val="Idées 2014"/>
    </sheetNames>
    <sheetDataSet>
      <sheetData sheetId="14">
        <row r="5">
          <cell r="E5">
            <v>31</v>
          </cell>
        </row>
        <row r="6">
          <cell r="E6">
            <v>136.7</v>
          </cell>
        </row>
        <row r="8">
          <cell r="E8">
            <v>24</v>
          </cell>
        </row>
        <row r="9">
          <cell r="E9">
            <v>71.1</v>
          </cell>
        </row>
        <row r="11">
          <cell r="E11">
            <v>56</v>
          </cell>
        </row>
        <row r="12">
          <cell r="E12">
            <v>196.4</v>
          </cell>
        </row>
        <row r="14">
          <cell r="E14">
            <v>93</v>
          </cell>
        </row>
        <row r="15">
          <cell r="E15">
            <v>395.2</v>
          </cell>
        </row>
        <row r="17">
          <cell r="E17">
            <v>166</v>
          </cell>
        </row>
        <row r="18">
          <cell r="E18">
            <v>673.85</v>
          </cell>
        </row>
        <row r="20">
          <cell r="E20">
            <v>147</v>
          </cell>
        </row>
        <row r="21">
          <cell r="E21">
            <v>770.3999999999999</v>
          </cell>
        </row>
        <row r="23">
          <cell r="E23">
            <v>157</v>
          </cell>
        </row>
        <row r="24">
          <cell r="E24">
            <v>775.1499999999997</v>
          </cell>
        </row>
        <row r="26">
          <cell r="E26">
            <v>240</v>
          </cell>
        </row>
        <row r="27">
          <cell r="E27">
            <v>988.5999999999999</v>
          </cell>
        </row>
        <row r="29">
          <cell r="E29">
            <v>82</v>
          </cell>
        </row>
        <row r="30">
          <cell r="E30">
            <v>376.7499999999999</v>
          </cell>
        </row>
        <row r="32">
          <cell r="E32">
            <v>142</v>
          </cell>
        </row>
        <row r="33">
          <cell r="E33">
            <v>550.4499999999999</v>
          </cell>
        </row>
        <row r="35">
          <cell r="E35">
            <v>66</v>
          </cell>
        </row>
        <row r="36">
          <cell r="E36">
            <v>295</v>
          </cell>
        </row>
        <row r="38">
          <cell r="E38">
            <v>46</v>
          </cell>
        </row>
        <row r="39">
          <cell r="E39">
            <v>133.35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énéral"/>
      <sheetName val="Ventes"/>
      <sheetName val="Achats et Stocks"/>
      <sheetName val="Bilan"/>
    </sheetNames>
    <sheetDataSet>
      <sheetData sheetId="1">
        <row r="152">
          <cell r="E152">
            <v>50</v>
          </cell>
          <cell r="F152">
            <v>326.99999999999994</v>
          </cell>
          <cell r="G152">
            <v>47</v>
          </cell>
          <cell r="H152">
            <v>213</v>
          </cell>
          <cell r="I152">
            <v>80</v>
          </cell>
          <cell r="J152">
            <v>309.70000000000005</v>
          </cell>
          <cell r="K152">
            <v>87</v>
          </cell>
          <cell r="L152">
            <v>399.95</v>
          </cell>
          <cell r="M152">
            <v>107</v>
          </cell>
          <cell r="N152">
            <v>496.05</v>
          </cell>
          <cell r="O152">
            <v>135</v>
          </cell>
          <cell r="P152">
            <v>634.8</v>
          </cell>
          <cell r="Q152">
            <v>300</v>
          </cell>
          <cell r="R152">
            <v>1543.7</v>
          </cell>
          <cell r="S152">
            <v>331</v>
          </cell>
          <cell r="T152">
            <v>1650.1000000000001</v>
          </cell>
          <cell r="U152">
            <v>146</v>
          </cell>
          <cell r="V152">
            <v>806.85</v>
          </cell>
          <cell r="W152">
            <v>104</v>
          </cell>
          <cell r="X152">
            <v>526.6999999999999</v>
          </cell>
          <cell r="Y152">
            <v>38</v>
          </cell>
          <cell r="Z152">
            <v>266.25</v>
          </cell>
          <cell r="AA152">
            <v>104</v>
          </cell>
          <cell r="AB152">
            <v>670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mmande Alimentaire"/>
      <sheetName val="Commande Souvenirs, librairie"/>
      <sheetName val="Ventes Hagetmau"/>
      <sheetName val=" Ventes St Sever"/>
      <sheetName val="Ventes Samadet"/>
      <sheetName val="Ventes Musée SS"/>
      <sheetName val="Vente Crypte"/>
      <sheetName val="Fonds de Caisse"/>
      <sheetName val=" Général st sever"/>
      <sheetName val="Bilan"/>
      <sheetName val="Recap pour VMP"/>
    </sheetNames>
    <sheetDataSet>
      <sheetData sheetId="9">
        <row r="5">
          <cell r="H5">
            <v>91</v>
          </cell>
        </row>
        <row r="6">
          <cell r="H6">
            <v>332.35</v>
          </cell>
        </row>
        <row r="8">
          <cell r="H8">
            <v>62</v>
          </cell>
        </row>
        <row r="9">
          <cell r="H9">
            <v>304.85</v>
          </cell>
        </row>
        <row r="11">
          <cell r="H11">
            <v>162</v>
          </cell>
        </row>
        <row r="12">
          <cell r="H12">
            <v>1051.4</v>
          </cell>
        </row>
        <row r="14">
          <cell r="H14">
            <v>64</v>
          </cell>
        </row>
        <row r="15">
          <cell r="H15">
            <v>582.05</v>
          </cell>
        </row>
        <row r="17">
          <cell r="H17">
            <v>253</v>
          </cell>
        </row>
        <row r="18">
          <cell r="H18">
            <v>1072.3500000000001</v>
          </cell>
        </row>
        <row r="20">
          <cell r="H20">
            <v>210</v>
          </cell>
        </row>
        <row r="21">
          <cell r="H21">
            <v>904.8499999999999</v>
          </cell>
        </row>
        <row r="23">
          <cell r="H23">
            <v>482</v>
          </cell>
        </row>
        <row r="24">
          <cell r="H24">
            <v>1877.5500000000002</v>
          </cell>
        </row>
        <row r="26">
          <cell r="H26">
            <v>661</v>
          </cell>
        </row>
        <row r="27">
          <cell r="H27">
            <v>2420.65</v>
          </cell>
        </row>
        <row r="29">
          <cell r="H29">
            <v>335</v>
          </cell>
        </row>
        <row r="30">
          <cell r="H30">
            <v>1393.7000000000003</v>
          </cell>
        </row>
        <row r="32">
          <cell r="H32">
            <v>173</v>
          </cell>
        </row>
        <row r="33">
          <cell r="H33">
            <v>679.55</v>
          </cell>
        </row>
        <row r="35">
          <cell r="H35">
            <v>80</v>
          </cell>
        </row>
        <row r="36">
          <cell r="H36">
            <v>310.84999999999997</v>
          </cell>
        </row>
        <row r="38">
          <cell r="H38">
            <v>199</v>
          </cell>
        </row>
        <row r="39">
          <cell r="H39">
            <v>1368.15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olangepoudenx@yahoo.fr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98"/>
  <sheetViews>
    <sheetView workbookViewId="0" topLeftCell="A25">
      <selection activeCell="G44" sqref="G44"/>
    </sheetView>
  </sheetViews>
  <sheetFormatPr defaultColWidth="9.140625" defaultRowHeight="12.75"/>
  <cols>
    <col min="1" max="1" width="46.00390625" style="0" customWidth="1"/>
    <col min="2" max="2" width="46.00390625" style="0" hidden="1" customWidth="1"/>
    <col min="3" max="3" width="46.00390625" style="0" customWidth="1"/>
    <col min="4" max="4" width="13.00390625" style="0" customWidth="1"/>
    <col min="5" max="5" width="13.7109375" style="0" customWidth="1"/>
    <col min="6" max="6" width="7.8515625" style="0" customWidth="1"/>
    <col min="7" max="7" width="13.7109375" style="0" customWidth="1"/>
    <col min="8" max="9" width="17.8515625" style="0" customWidth="1"/>
    <col min="10" max="10" width="13.7109375" style="0" customWidth="1"/>
    <col min="11" max="14" width="17.57421875" style="0" customWidth="1"/>
    <col min="15" max="15" width="6.57421875" style="0" customWidth="1"/>
    <col min="16" max="16" width="13.8515625" style="0" customWidth="1"/>
    <col min="17" max="17" width="8.140625" style="0" customWidth="1"/>
    <col min="18" max="31" width="13.8515625" style="0" customWidth="1"/>
    <col min="32" max="32" width="14.7109375" style="0" customWidth="1"/>
    <col min="33" max="34" width="13.8515625" style="0" customWidth="1"/>
    <col min="35" max="39" width="17.57421875" style="0" hidden="1" customWidth="1"/>
    <col min="40" max="46" width="15.28125" style="0" hidden="1" customWidth="1"/>
    <col min="47" max="48" width="16.8515625" style="0" hidden="1" customWidth="1"/>
    <col min="49" max="49" width="18.140625" style="0" hidden="1" customWidth="1"/>
    <col min="50" max="50" width="44.00390625" style="0" hidden="1" customWidth="1"/>
    <col min="51" max="51" width="15.140625" style="0" hidden="1" customWidth="1"/>
    <col min="52" max="55" width="11.421875" style="0" hidden="1" customWidth="1"/>
    <col min="56" max="57" width="11.421875" style="0" customWidth="1"/>
    <col min="58" max="16384" width="11.00390625" style="0" customWidth="1"/>
  </cols>
  <sheetData>
    <row r="1" spans="1:34" ht="14.25">
      <c r="A1" s="1">
        <v>2021</v>
      </c>
      <c r="B1" s="1"/>
      <c r="C1" s="1"/>
      <c r="D1" s="1"/>
      <c r="E1" s="1"/>
      <c r="F1" s="1"/>
      <c r="G1" s="1"/>
      <c r="H1" s="1"/>
      <c r="I1" s="1"/>
      <c r="J1" s="1"/>
      <c r="AG1" s="2"/>
      <c r="AH1" s="2"/>
    </row>
    <row r="2" spans="1:55" ht="27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0</v>
      </c>
      <c r="L2" s="2"/>
      <c r="M2" s="2" t="s">
        <v>1</v>
      </c>
      <c r="N2" s="2"/>
      <c r="O2" s="2" t="s">
        <v>2</v>
      </c>
      <c r="P2" s="2"/>
      <c r="Q2" s="2" t="s">
        <v>3</v>
      </c>
      <c r="R2" s="2"/>
      <c r="S2" s="2" t="s">
        <v>4</v>
      </c>
      <c r="T2" s="2"/>
      <c r="U2" s="2" t="s">
        <v>5</v>
      </c>
      <c r="V2" s="2"/>
      <c r="W2" s="2" t="s">
        <v>6</v>
      </c>
      <c r="X2" s="2"/>
      <c r="Y2" s="2" t="s">
        <v>7</v>
      </c>
      <c r="Z2" s="2"/>
      <c r="AA2" s="2" t="s">
        <v>8</v>
      </c>
      <c r="AB2" s="2"/>
      <c r="AC2" s="2" t="s">
        <v>9</v>
      </c>
      <c r="AD2" s="2"/>
      <c r="AE2" s="2" t="s">
        <v>10</v>
      </c>
      <c r="AF2" s="2"/>
      <c r="AG2" s="2" t="s">
        <v>11</v>
      </c>
      <c r="AH2" s="2"/>
      <c r="AI2" s="3" t="s">
        <v>12</v>
      </c>
      <c r="AJ2" s="3"/>
      <c r="AK2" s="4" t="s">
        <v>13</v>
      </c>
      <c r="AL2" s="4"/>
      <c r="AM2" s="5" t="s">
        <v>14</v>
      </c>
      <c r="AN2" s="5"/>
      <c r="AO2" s="6"/>
      <c r="AP2" s="6"/>
      <c r="AQ2" s="7" t="s">
        <v>15</v>
      </c>
      <c r="AR2" s="7"/>
      <c r="AS2" s="8"/>
      <c r="AT2" s="8"/>
      <c r="AU2" s="9" t="s">
        <v>16</v>
      </c>
      <c r="AV2" s="9" t="s">
        <v>17</v>
      </c>
      <c r="AW2" s="10" t="s">
        <v>18</v>
      </c>
      <c r="AX2" s="11"/>
      <c r="AY2" s="9" t="s">
        <v>19</v>
      </c>
      <c r="AZ2" s="9" t="s">
        <v>20</v>
      </c>
      <c r="BA2" s="9" t="s">
        <v>21</v>
      </c>
      <c r="BB2" s="9" t="s">
        <v>22</v>
      </c>
      <c r="BC2" s="12" t="s">
        <v>23</v>
      </c>
    </row>
    <row r="3" spans="1:55" ht="58.5" customHeight="1">
      <c r="A3" s="13" t="s">
        <v>24</v>
      </c>
      <c r="B3" s="13" t="s">
        <v>25</v>
      </c>
      <c r="C3" s="14" t="s">
        <v>26</v>
      </c>
      <c r="D3" s="15" t="s">
        <v>27</v>
      </c>
      <c r="E3" s="15" t="s">
        <v>28</v>
      </c>
      <c r="F3" s="15" t="s">
        <v>29</v>
      </c>
      <c r="G3" s="15" t="s">
        <v>30</v>
      </c>
      <c r="H3" s="15" t="s">
        <v>31</v>
      </c>
      <c r="I3" s="16" t="s">
        <v>32</v>
      </c>
      <c r="J3" s="17" t="s">
        <v>33</v>
      </c>
      <c r="K3" s="3" t="s">
        <v>20</v>
      </c>
      <c r="L3" s="18" t="s">
        <v>34</v>
      </c>
      <c r="M3" s="3" t="s">
        <v>20</v>
      </c>
      <c r="N3" s="18" t="s">
        <v>34</v>
      </c>
      <c r="O3" s="3" t="s">
        <v>20</v>
      </c>
      <c r="P3" s="18" t="s">
        <v>34</v>
      </c>
      <c r="Q3" s="18" t="s">
        <v>20</v>
      </c>
      <c r="R3" s="18" t="s">
        <v>35</v>
      </c>
      <c r="S3" s="18" t="s">
        <v>36</v>
      </c>
      <c r="T3" s="18" t="s">
        <v>35</v>
      </c>
      <c r="U3" s="18" t="s">
        <v>20</v>
      </c>
      <c r="V3" s="18" t="s">
        <v>35</v>
      </c>
      <c r="W3" s="18" t="s">
        <v>20</v>
      </c>
      <c r="X3" s="18" t="s">
        <v>35</v>
      </c>
      <c r="Y3" s="18" t="s">
        <v>20</v>
      </c>
      <c r="Z3" s="18" t="s">
        <v>35</v>
      </c>
      <c r="AA3" s="18" t="s">
        <v>20</v>
      </c>
      <c r="AB3" s="18" t="s">
        <v>35</v>
      </c>
      <c r="AC3" s="18" t="s">
        <v>20</v>
      </c>
      <c r="AD3" s="18" t="s">
        <v>35</v>
      </c>
      <c r="AE3" s="18" t="s">
        <v>20</v>
      </c>
      <c r="AF3" s="18" t="s">
        <v>35</v>
      </c>
      <c r="AG3" s="18" t="s">
        <v>20</v>
      </c>
      <c r="AH3" s="18" t="s">
        <v>35</v>
      </c>
      <c r="AI3" s="18" t="s">
        <v>37</v>
      </c>
      <c r="AJ3" s="18" t="s">
        <v>38</v>
      </c>
      <c r="AK3" s="19" t="s">
        <v>39</v>
      </c>
      <c r="AL3" s="19" t="s">
        <v>38</v>
      </c>
      <c r="AM3" s="20" t="s">
        <v>39</v>
      </c>
      <c r="AN3" s="20" t="s">
        <v>38</v>
      </c>
      <c r="AO3" s="20"/>
      <c r="AP3" s="20"/>
      <c r="AQ3" s="21" t="s">
        <v>39</v>
      </c>
      <c r="AR3" s="21" t="s">
        <v>38</v>
      </c>
      <c r="AS3" s="21"/>
      <c r="AT3" s="21"/>
      <c r="AU3" s="9"/>
      <c r="AV3" s="9"/>
      <c r="AW3" s="22">
        <f>6000-P72-R72-T72-V72-X72-Z72-AB72-AD72-AF72-L72-AH72-N72</f>
        <v>6000</v>
      </c>
      <c r="AX3" s="11"/>
      <c r="AY3" s="9"/>
      <c r="AZ3" s="9"/>
      <c r="BA3" s="9"/>
      <c r="BB3" s="9"/>
      <c r="BC3" s="12"/>
    </row>
    <row r="4" spans="1:55" ht="16.5" customHeight="1">
      <c r="A4" s="23" t="s">
        <v>40</v>
      </c>
      <c r="B4" s="23" t="s">
        <v>41</v>
      </c>
      <c r="C4" s="24" t="s">
        <v>42</v>
      </c>
      <c r="D4" s="25">
        <v>15.73</v>
      </c>
      <c r="E4" s="25">
        <f>D4*0.25</f>
        <v>3.9325</v>
      </c>
      <c r="F4" s="26">
        <f aca="true" t="shared" si="0" ref="F4:F22">E4/D4</f>
        <v>0.25</v>
      </c>
      <c r="G4" s="25">
        <f>D4*1.25</f>
        <v>19.6625</v>
      </c>
      <c r="H4" s="27">
        <f aca="true" t="shared" si="1" ref="H4:H19">G4*1.055</f>
        <v>20.7439375</v>
      </c>
      <c r="I4" s="28">
        <v>0.055</v>
      </c>
      <c r="J4" s="29">
        <v>20.9</v>
      </c>
      <c r="K4" s="30"/>
      <c r="L4" s="30"/>
      <c r="M4" s="30"/>
      <c r="N4" s="30"/>
      <c r="O4" s="31"/>
      <c r="P4" s="32"/>
      <c r="Q4" s="33"/>
      <c r="R4" s="33"/>
      <c r="S4" s="34"/>
      <c r="T4" s="33"/>
      <c r="U4" s="33"/>
      <c r="V4" s="33"/>
      <c r="W4" s="35"/>
      <c r="X4" s="33"/>
      <c r="Y4" s="34"/>
      <c r="Z4" s="33"/>
      <c r="AA4" s="31"/>
      <c r="AB4" s="31"/>
      <c r="AC4" s="31"/>
      <c r="AD4" s="33"/>
      <c r="AE4" s="31"/>
      <c r="AF4" s="33"/>
      <c r="AG4" s="31"/>
      <c r="AH4" s="31"/>
      <c r="AI4" s="36"/>
      <c r="AJ4" s="36"/>
      <c r="AK4" s="37"/>
      <c r="AL4" s="38"/>
      <c r="AM4" s="39"/>
      <c r="AN4" s="39"/>
      <c r="AO4" s="40"/>
      <c r="AP4" s="40"/>
      <c r="AQ4" s="41"/>
      <c r="AR4" s="41"/>
      <c r="AS4" s="41"/>
      <c r="AT4" s="41"/>
      <c r="AU4" s="42">
        <f>AJ4+AL4+AN4</f>
        <v>0</v>
      </c>
      <c r="AV4" s="43" t="e">
        <f>#REF!+#REF!</f>
        <v>#REF!</v>
      </c>
      <c r="AW4" s="22"/>
      <c r="AX4" s="44" t="s">
        <v>42</v>
      </c>
      <c r="AY4" s="45">
        <v>3</v>
      </c>
      <c r="AZ4" s="46">
        <f>AG4+AE4+AC4+AA4+Y4+W4+U4+S4+Q4+O4+M4+K4</f>
        <v>0</v>
      </c>
      <c r="BA4" s="46">
        <f>AU4</f>
        <v>0</v>
      </c>
      <c r="BB4" s="47">
        <f>(AY4+AZ4)-BA4</f>
        <v>3</v>
      </c>
      <c r="BC4" s="48">
        <f>IF(BB4&gt;=6,"Ok","Commande")</f>
        <v>0</v>
      </c>
    </row>
    <row r="5" spans="1:55" ht="16.5" customHeight="1">
      <c r="A5" s="23"/>
      <c r="B5" s="23"/>
      <c r="C5" s="49" t="s">
        <v>43</v>
      </c>
      <c r="D5" s="50">
        <v>14.5</v>
      </c>
      <c r="E5" s="25">
        <f>D5*0.36</f>
        <v>5.22</v>
      </c>
      <c r="F5" s="26">
        <f t="shared" si="0"/>
        <v>0.36</v>
      </c>
      <c r="G5" s="25">
        <f>D5*1.36</f>
        <v>19.720000000000002</v>
      </c>
      <c r="H5" s="27">
        <f t="shared" si="1"/>
        <v>20.8046</v>
      </c>
      <c r="I5" s="28"/>
      <c r="J5" s="29">
        <v>20.9</v>
      </c>
      <c r="K5" s="30"/>
      <c r="L5" s="30"/>
      <c r="M5" s="30"/>
      <c r="N5" s="30"/>
      <c r="O5" s="30"/>
      <c r="P5" s="51"/>
      <c r="Q5" s="52"/>
      <c r="R5" s="53"/>
      <c r="S5" s="54"/>
      <c r="T5" s="53"/>
      <c r="U5" s="53"/>
      <c r="V5" s="53"/>
      <c r="W5" s="35"/>
      <c r="X5" s="53"/>
      <c r="Y5" s="55"/>
      <c r="Z5" s="53"/>
      <c r="AA5" s="30"/>
      <c r="AB5" s="56"/>
      <c r="AC5" s="56"/>
      <c r="AD5" s="53"/>
      <c r="AE5" s="30"/>
      <c r="AF5" s="53"/>
      <c r="AG5" s="56"/>
      <c r="AH5" s="56"/>
      <c r="AI5" s="57"/>
      <c r="AJ5" s="57"/>
      <c r="AK5" s="58"/>
      <c r="AL5" s="59"/>
      <c r="AM5" s="60"/>
      <c r="AN5" s="60"/>
      <c r="AO5" s="61"/>
      <c r="AP5" s="61"/>
      <c r="AQ5" s="62"/>
      <c r="AR5" s="62"/>
      <c r="AS5" s="62"/>
      <c r="AT5" s="62"/>
      <c r="AU5" s="63"/>
      <c r="AV5" s="43"/>
      <c r="AW5" s="22"/>
      <c r="AX5" s="64"/>
      <c r="AY5" s="65"/>
      <c r="AZ5" s="66"/>
      <c r="BA5" s="66"/>
      <c r="BB5" s="67"/>
      <c r="BC5" s="48"/>
    </row>
    <row r="6" spans="1:55" ht="15.75" customHeight="1">
      <c r="A6" s="23"/>
      <c r="B6" s="23"/>
      <c r="C6" s="68" t="s">
        <v>44</v>
      </c>
      <c r="D6" s="69">
        <v>4.23</v>
      </c>
      <c r="E6" s="69">
        <f>D6*0.37</f>
        <v>1.5651000000000002</v>
      </c>
      <c r="F6" s="70">
        <f t="shared" si="0"/>
        <v>0.37</v>
      </c>
      <c r="G6" s="69">
        <f>D6*1.37</f>
        <v>5.7951000000000015</v>
      </c>
      <c r="H6" s="71">
        <f t="shared" si="1"/>
        <v>6.1138305000000015</v>
      </c>
      <c r="I6" s="28"/>
      <c r="J6" s="72">
        <v>6.1</v>
      </c>
      <c r="K6" s="35"/>
      <c r="L6" s="35"/>
      <c r="M6" s="35"/>
      <c r="N6" s="35"/>
      <c r="O6" s="35"/>
      <c r="P6" s="73"/>
      <c r="Q6" s="54"/>
      <c r="R6" s="74"/>
      <c r="S6" s="35"/>
      <c r="T6" s="75"/>
      <c r="U6" s="75"/>
      <c r="V6" s="75"/>
      <c r="W6" s="35"/>
      <c r="X6" s="75"/>
      <c r="Y6" s="75"/>
      <c r="Z6" s="75"/>
      <c r="AA6" s="35"/>
      <c r="AB6" s="75"/>
      <c r="AC6" s="75"/>
      <c r="AD6" s="75"/>
      <c r="AE6" s="76"/>
      <c r="AF6" s="75"/>
      <c r="AG6" s="75"/>
      <c r="AH6" s="75"/>
      <c r="AI6" s="77"/>
      <c r="AJ6" s="77"/>
      <c r="AK6" s="78"/>
      <c r="AL6" s="79"/>
      <c r="AM6" s="80"/>
      <c r="AN6" s="81"/>
      <c r="AO6" s="81"/>
      <c r="AP6" s="81"/>
      <c r="AQ6" s="82"/>
      <c r="AR6" s="82"/>
      <c r="AS6" s="82"/>
      <c r="AT6" s="82"/>
      <c r="AU6" s="83">
        <f aca="true" t="shared" si="2" ref="AU6:AU15">AJ6+AL6+AN6</f>
        <v>0</v>
      </c>
      <c r="AV6" s="43" t="e">
        <f>#REF!</f>
        <v>#REF!</v>
      </c>
      <c r="AW6" s="22"/>
      <c r="AX6" s="84" t="s">
        <v>45</v>
      </c>
      <c r="AY6" s="85">
        <v>17</v>
      </c>
      <c r="AZ6" s="86">
        <f aca="true" t="shared" si="3" ref="AZ6:AZ15">AG6+AE6+AC6+AA6+Y6+W6+U6+S6+Q6+O6+M6+K6</f>
        <v>0</v>
      </c>
      <c r="BA6" s="86">
        <f aca="true" t="shared" si="4" ref="BA6:BA15">AU6</f>
        <v>0</v>
      </c>
      <c r="BB6" s="87">
        <f aca="true" t="shared" si="5" ref="BB6:BB15">(AY6+AZ6)-BA6</f>
        <v>17</v>
      </c>
      <c r="BC6" s="48">
        <f aca="true" t="shared" si="6" ref="BC6:BC15">IF(BB6&gt;=6,"Ok","Commande")</f>
        <v>0</v>
      </c>
    </row>
    <row r="7" spans="1:55" ht="15" customHeight="1">
      <c r="A7" s="23"/>
      <c r="B7" s="23"/>
      <c r="C7" s="88" t="s">
        <v>46</v>
      </c>
      <c r="D7" s="89">
        <v>8.96</v>
      </c>
      <c r="E7" s="89">
        <f>D7*0.25</f>
        <v>2.24</v>
      </c>
      <c r="F7" s="90">
        <f t="shared" si="0"/>
        <v>0.25</v>
      </c>
      <c r="G7" s="89">
        <f>D7*1.25</f>
        <v>11.200000000000001</v>
      </c>
      <c r="H7" s="91">
        <f t="shared" si="1"/>
        <v>11.816</v>
      </c>
      <c r="I7" s="28"/>
      <c r="J7" s="92">
        <v>11.9</v>
      </c>
      <c r="K7" s="93"/>
      <c r="L7" s="93"/>
      <c r="M7" s="93"/>
      <c r="N7" s="93"/>
      <c r="O7" s="93"/>
      <c r="P7" s="94"/>
      <c r="Q7" s="54"/>
      <c r="R7" s="74"/>
      <c r="S7" s="75"/>
      <c r="T7" s="75"/>
      <c r="U7" s="75"/>
      <c r="V7" s="75"/>
      <c r="W7" s="93"/>
      <c r="X7" s="75"/>
      <c r="Y7" s="75"/>
      <c r="Z7" s="75"/>
      <c r="AA7" s="93"/>
      <c r="AB7" s="75"/>
      <c r="AC7" s="93"/>
      <c r="AD7" s="75"/>
      <c r="AE7" s="55"/>
      <c r="AF7" s="75"/>
      <c r="AG7" s="75"/>
      <c r="AH7" s="75"/>
      <c r="AI7" s="95"/>
      <c r="AJ7" s="95"/>
      <c r="AK7" s="96"/>
      <c r="AL7" s="97"/>
      <c r="AM7" s="98"/>
      <c r="AN7" s="99"/>
      <c r="AO7" s="99"/>
      <c r="AP7" s="99"/>
      <c r="AQ7" s="100"/>
      <c r="AR7" s="100"/>
      <c r="AS7" s="100"/>
      <c r="AT7" s="100"/>
      <c r="AU7" s="101">
        <f t="shared" si="2"/>
        <v>0</v>
      </c>
      <c r="AV7" s="102" t="e">
        <f>#REF!</f>
        <v>#REF!</v>
      </c>
      <c r="AW7" s="22"/>
      <c r="AX7" s="103" t="s">
        <v>46</v>
      </c>
      <c r="AY7" s="85">
        <v>7</v>
      </c>
      <c r="AZ7" s="86">
        <f t="shared" si="3"/>
        <v>0</v>
      </c>
      <c r="BA7" s="86">
        <f t="shared" si="4"/>
        <v>0</v>
      </c>
      <c r="BB7" s="87">
        <f t="shared" si="5"/>
        <v>7</v>
      </c>
      <c r="BC7" s="48">
        <f t="shared" si="6"/>
        <v>0</v>
      </c>
    </row>
    <row r="8" spans="1:55" ht="16.5" customHeight="1">
      <c r="A8" s="23" t="s">
        <v>47</v>
      </c>
      <c r="B8" s="104" t="s">
        <v>48</v>
      </c>
      <c r="C8" s="24" t="s">
        <v>49</v>
      </c>
      <c r="D8" s="25">
        <v>6.54</v>
      </c>
      <c r="E8" s="25">
        <f>D8*0.3</f>
        <v>1.962</v>
      </c>
      <c r="F8" s="26">
        <f t="shared" si="0"/>
        <v>0.3</v>
      </c>
      <c r="G8" s="25">
        <f>D8*1.3</f>
        <v>8.502</v>
      </c>
      <c r="H8" s="27">
        <f t="shared" si="1"/>
        <v>8.96961</v>
      </c>
      <c r="I8" s="28"/>
      <c r="J8" s="105">
        <v>9</v>
      </c>
      <c r="K8" s="31"/>
      <c r="L8" s="31"/>
      <c r="M8" s="31"/>
      <c r="N8" s="31"/>
      <c r="O8" s="31"/>
      <c r="P8" s="32"/>
      <c r="Q8" s="106"/>
      <c r="R8" s="106"/>
      <c r="S8" s="106"/>
      <c r="T8" s="106"/>
      <c r="U8" s="106"/>
      <c r="V8" s="106"/>
      <c r="W8" s="35"/>
      <c r="X8" s="33"/>
      <c r="Y8" s="106"/>
      <c r="Z8" s="106"/>
      <c r="AA8" s="107"/>
      <c r="AB8" s="33"/>
      <c r="AC8" s="106"/>
      <c r="AD8" s="106"/>
      <c r="AE8" s="31"/>
      <c r="AF8" s="33"/>
      <c r="AG8" s="106"/>
      <c r="AH8" s="106"/>
      <c r="AI8" s="36"/>
      <c r="AJ8" s="36"/>
      <c r="AK8" s="37"/>
      <c r="AL8" s="38"/>
      <c r="AM8" s="39"/>
      <c r="AN8" s="108"/>
      <c r="AO8" s="108"/>
      <c r="AP8" s="108"/>
      <c r="AQ8" s="41"/>
      <c r="AR8" s="41"/>
      <c r="AS8" s="41"/>
      <c r="AT8" s="41"/>
      <c r="AU8" s="42">
        <f t="shared" si="2"/>
        <v>0</v>
      </c>
      <c r="AV8" s="43" t="e">
        <f>#REF!</f>
        <v>#REF!</v>
      </c>
      <c r="AW8" s="22"/>
      <c r="AX8" s="44" t="s">
        <v>49</v>
      </c>
      <c r="AY8" s="85">
        <v>3</v>
      </c>
      <c r="AZ8" s="86">
        <f t="shared" si="3"/>
        <v>0</v>
      </c>
      <c r="BA8" s="86">
        <f t="shared" si="4"/>
        <v>0</v>
      </c>
      <c r="BB8" s="87">
        <f t="shared" si="5"/>
        <v>3</v>
      </c>
      <c r="BC8" s="48">
        <f t="shared" si="6"/>
        <v>0</v>
      </c>
    </row>
    <row r="9" spans="1:55" ht="15" customHeight="1">
      <c r="A9" s="23"/>
      <c r="B9" s="109" t="s">
        <v>50</v>
      </c>
      <c r="C9" s="68" t="s">
        <v>51</v>
      </c>
      <c r="D9" s="69">
        <v>10.83</v>
      </c>
      <c r="E9" s="69">
        <f>D9*0.27</f>
        <v>2.9241</v>
      </c>
      <c r="F9" s="70">
        <f t="shared" si="0"/>
        <v>0.27</v>
      </c>
      <c r="G9" s="69">
        <f>D9*1.27</f>
        <v>13.754100000000001</v>
      </c>
      <c r="H9" s="71">
        <f t="shared" si="1"/>
        <v>14.5105755</v>
      </c>
      <c r="I9" s="28"/>
      <c r="J9" s="110">
        <v>14.5</v>
      </c>
      <c r="K9" s="35"/>
      <c r="L9" s="35"/>
      <c r="M9" s="35"/>
      <c r="N9" s="35"/>
      <c r="O9" s="35"/>
      <c r="P9" s="73"/>
      <c r="Q9" s="111"/>
      <c r="R9" s="111"/>
      <c r="S9" s="111"/>
      <c r="T9" s="111"/>
      <c r="U9" s="111"/>
      <c r="V9" s="111"/>
      <c r="W9" s="111"/>
      <c r="X9" s="75"/>
      <c r="Y9" s="111"/>
      <c r="Z9" s="111"/>
      <c r="AA9" s="76"/>
      <c r="AB9" s="75"/>
      <c r="AC9" s="111"/>
      <c r="AD9" s="111"/>
      <c r="AE9" s="76"/>
      <c r="AF9" s="75"/>
      <c r="AG9" s="111"/>
      <c r="AH9" s="111"/>
      <c r="AI9" s="77"/>
      <c r="AJ9" s="77"/>
      <c r="AK9" s="78"/>
      <c r="AL9" s="79"/>
      <c r="AM9" s="80"/>
      <c r="AN9" s="81"/>
      <c r="AO9" s="81"/>
      <c r="AP9" s="81"/>
      <c r="AQ9" s="82"/>
      <c r="AR9" s="82"/>
      <c r="AS9" s="82"/>
      <c r="AT9" s="82"/>
      <c r="AU9" s="83">
        <f t="shared" si="2"/>
        <v>0</v>
      </c>
      <c r="AV9" s="112" t="e">
        <f>#REF!</f>
        <v>#REF!</v>
      </c>
      <c r="AW9" s="22"/>
      <c r="AX9" s="84" t="s">
        <v>51</v>
      </c>
      <c r="AY9" s="85">
        <v>6</v>
      </c>
      <c r="AZ9" s="86">
        <f t="shared" si="3"/>
        <v>0</v>
      </c>
      <c r="BA9" s="86">
        <f t="shared" si="4"/>
        <v>0</v>
      </c>
      <c r="BB9" s="87">
        <f t="shared" si="5"/>
        <v>6</v>
      </c>
      <c r="BC9" s="48">
        <f t="shared" si="6"/>
        <v>0</v>
      </c>
    </row>
    <row r="10" spans="1:55" ht="15" customHeight="1">
      <c r="A10" s="23"/>
      <c r="B10" s="113" t="s">
        <v>52</v>
      </c>
      <c r="C10" s="114" t="s">
        <v>53</v>
      </c>
      <c r="D10" s="89">
        <v>5.05</v>
      </c>
      <c r="E10" s="89">
        <f aca="true" t="shared" si="7" ref="E10:E11">D10*0.29</f>
        <v>1.4645</v>
      </c>
      <c r="F10" s="90">
        <f t="shared" si="0"/>
        <v>0.29</v>
      </c>
      <c r="G10" s="89">
        <f aca="true" t="shared" si="8" ref="G10:G11">D10*1.29</f>
        <v>6.5145</v>
      </c>
      <c r="H10" s="91">
        <f t="shared" si="1"/>
        <v>6.8727975</v>
      </c>
      <c r="I10" s="28"/>
      <c r="J10" s="92">
        <v>6.9</v>
      </c>
      <c r="K10" s="93"/>
      <c r="L10" s="93"/>
      <c r="M10" s="93"/>
      <c r="N10" s="93"/>
      <c r="O10" s="93"/>
      <c r="P10" s="94"/>
      <c r="Q10" s="53"/>
      <c r="R10" s="52"/>
      <c r="S10" s="53"/>
      <c r="T10" s="53"/>
      <c r="U10" s="53"/>
      <c r="V10" s="53"/>
      <c r="W10" s="93"/>
      <c r="X10" s="75"/>
      <c r="Y10" s="53"/>
      <c r="Z10" s="53"/>
      <c r="AA10" s="53"/>
      <c r="AB10" s="75"/>
      <c r="AC10" s="53"/>
      <c r="AD10" s="53"/>
      <c r="AE10" s="55"/>
      <c r="AF10" s="75"/>
      <c r="AG10" s="53"/>
      <c r="AH10" s="53"/>
      <c r="AI10" s="95"/>
      <c r="AJ10" s="95"/>
      <c r="AK10" s="96"/>
      <c r="AL10" s="97"/>
      <c r="AM10" s="98"/>
      <c r="AN10" s="99"/>
      <c r="AO10" s="99"/>
      <c r="AP10" s="99"/>
      <c r="AQ10" s="100"/>
      <c r="AR10" s="100"/>
      <c r="AS10" s="100"/>
      <c r="AT10" s="100"/>
      <c r="AU10" s="101">
        <f t="shared" si="2"/>
        <v>0</v>
      </c>
      <c r="AV10" s="102" t="e">
        <f>#REF!</f>
        <v>#REF!</v>
      </c>
      <c r="AW10" s="22"/>
      <c r="AX10" s="115" t="s">
        <v>53</v>
      </c>
      <c r="AY10" s="85">
        <v>13</v>
      </c>
      <c r="AZ10" s="86">
        <f t="shared" si="3"/>
        <v>0</v>
      </c>
      <c r="BA10" s="86">
        <f t="shared" si="4"/>
        <v>0</v>
      </c>
      <c r="BB10" s="87">
        <f t="shared" si="5"/>
        <v>13</v>
      </c>
      <c r="BC10" s="48">
        <f t="shared" si="6"/>
        <v>0</v>
      </c>
    </row>
    <row r="11" spans="1:55" ht="16.5" customHeight="1">
      <c r="A11" s="116" t="s">
        <v>54</v>
      </c>
      <c r="B11" s="117" t="s">
        <v>55</v>
      </c>
      <c r="C11" s="118" t="s">
        <v>56</v>
      </c>
      <c r="D11" s="119">
        <f>187.5/15</f>
        <v>12.5</v>
      </c>
      <c r="E11" s="119">
        <f t="shared" si="7"/>
        <v>3.6249999999999996</v>
      </c>
      <c r="F11" s="120">
        <f t="shared" si="0"/>
        <v>0.29</v>
      </c>
      <c r="G11" s="119">
        <f t="shared" si="8"/>
        <v>16.125</v>
      </c>
      <c r="H11" s="121">
        <f t="shared" si="1"/>
        <v>17.011875</v>
      </c>
      <c r="I11" s="28"/>
      <c r="J11" s="105">
        <v>17</v>
      </c>
      <c r="K11" s="31"/>
      <c r="L11" s="31"/>
      <c r="M11" s="31"/>
      <c r="N11" s="31"/>
      <c r="O11" s="31"/>
      <c r="P11" s="32"/>
      <c r="Q11" s="106"/>
      <c r="R11" s="106"/>
      <c r="S11" s="106"/>
      <c r="T11" s="106"/>
      <c r="U11" s="106"/>
      <c r="V11" s="106"/>
      <c r="W11" s="106"/>
      <c r="X11" s="106"/>
      <c r="Y11" s="107"/>
      <c r="Z11" s="106"/>
      <c r="AA11" s="34"/>
      <c r="AB11" s="106"/>
      <c r="AC11" s="33"/>
      <c r="AD11" s="33"/>
      <c r="AE11" s="33"/>
      <c r="AF11" s="33"/>
      <c r="AG11" s="33"/>
      <c r="AH11" s="33"/>
      <c r="AI11" s="36"/>
      <c r="AJ11" s="36"/>
      <c r="AK11" s="37"/>
      <c r="AL11" s="38"/>
      <c r="AM11" s="39"/>
      <c r="AN11" s="108"/>
      <c r="AO11" s="108"/>
      <c r="AP11" s="108"/>
      <c r="AQ11" s="41"/>
      <c r="AR11" s="41"/>
      <c r="AS11" s="41"/>
      <c r="AT11" s="41"/>
      <c r="AU11" s="42">
        <f t="shared" si="2"/>
        <v>0</v>
      </c>
      <c r="AV11" s="43" t="e">
        <f>#REF!</f>
        <v>#REF!</v>
      </c>
      <c r="AW11" s="22"/>
      <c r="AX11" s="44" t="s">
        <v>56</v>
      </c>
      <c r="AY11" s="122">
        <v>16</v>
      </c>
      <c r="AZ11" s="86">
        <f t="shared" si="3"/>
        <v>0</v>
      </c>
      <c r="BA11" s="86">
        <f t="shared" si="4"/>
        <v>0</v>
      </c>
      <c r="BB11" s="87">
        <f t="shared" si="5"/>
        <v>16</v>
      </c>
      <c r="BC11" s="48">
        <f t="shared" si="6"/>
        <v>0</v>
      </c>
    </row>
    <row r="12" spans="1:55" ht="15" customHeight="1">
      <c r="A12" s="123" t="s">
        <v>57</v>
      </c>
      <c r="B12" s="124" t="s">
        <v>58</v>
      </c>
      <c r="C12" s="49" t="s">
        <v>59</v>
      </c>
      <c r="D12" s="50">
        <v>3.34</v>
      </c>
      <c r="E12" s="50">
        <f aca="true" t="shared" si="9" ref="E12:E13">D12*0.42</f>
        <v>1.4027999999999998</v>
      </c>
      <c r="F12" s="125">
        <f t="shared" si="0"/>
        <v>0.42</v>
      </c>
      <c r="G12" s="50">
        <f aca="true" t="shared" si="10" ref="G12:G13">D12*1.42</f>
        <v>4.7428</v>
      </c>
      <c r="H12" s="126">
        <f t="shared" si="1"/>
        <v>5.003654</v>
      </c>
      <c r="I12" s="28"/>
      <c r="J12" s="127">
        <v>5</v>
      </c>
      <c r="K12" s="128"/>
      <c r="L12" s="129"/>
      <c r="M12" s="129"/>
      <c r="N12" s="129"/>
      <c r="O12" s="31"/>
      <c r="P12" s="32"/>
      <c r="Q12" s="106"/>
      <c r="R12" s="106"/>
      <c r="S12" s="107"/>
      <c r="T12" s="106"/>
      <c r="U12" s="106"/>
      <c r="V12" s="106"/>
      <c r="W12" s="106"/>
      <c r="X12" s="106"/>
      <c r="Y12" s="130"/>
      <c r="Z12" s="106"/>
      <c r="AA12" s="107"/>
      <c r="AB12" s="106"/>
      <c r="AC12" s="106"/>
      <c r="AD12" s="106"/>
      <c r="AE12" s="107"/>
      <c r="AF12" s="106"/>
      <c r="AG12" s="106"/>
      <c r="AH12" s="106"/>
      <c r="AI12" s="36"/>
      <c r="AJ12" s="36"/>
      <c r="AK12" s="37"/>
      <c r="AL12" s="38"/>
      <c r="AM12" s="39"/>
      <c r="AN12" s="131"/>
      <c r="AO12" s="132"/>
      <c r="AP12" s="132"/>
      <c r="AQ12" s="41"/>
      <c r="AR12" s="41"/>
      <c r="AS12" s="41"/>
      <c r="AT12" s="41"/>
      <c r="AU12" s="42">
        <f t="shared" si="2"/>
        <v>0</v>
      </c>
      <c r="AV12" s="43" t="e">
        <f>#REF!+#REF!</f>
        <v>#REF!</v>
      </c>
      <c r="AW12" s="22"/>
      <c r="AX12" s="44" t="s">
        <v>59</v>
      </c>
      <c r="AY12" s="85">
        <v>12</v>
      </c>
      <c r="AZ12" s="86">
        <f t="shared" si="3"/>
        <v>0</v>
      </c>
      <c r="BA12" s="86">
        <f t="shared" si="4"/>
        <v>0</v>
      </c>
      <c r="BB12" s="87">
        <f t="shared" si="5"/>
        <v>12</v>
      </c>
      <c r="BC12" s="48">
        <f t="shared" si="6"/>
        <v>0</v>
      </c>
    </row>
    <row r="13" spans="1:55" ht="15" customHeight="1">
      <c r="A13" s="123"/>
      <c r="B13" s="124"/>
      <c r="C13" s="88" t="s">
        <v>60</v>
      </c>
      <c r="D13" s="89">
        <v>3.47</v>
      </c>
      <c r="E13" s="89">
        <f t="shared" si="9"/>
        <v>1.4574</v>
      </c>
      <c r="F13" s="90">
        <f t="shared" si="0"/>
        <v>0.42</v>
      </c>
      <c r="G13" s="89">
        <f t="shared" si="10"/>
        <v>4.9274000000000004</v>
      </c>
      <c r="H13" s="91">
        <f t="shared" si="1"/>
        <v>5.1984070000000004</v>
      </c>
      <c r="I13" s="28"/>
      <c r="J13" s="92">
        <v>5.2</v>
      </c>
      <c r="K13" s="93"/>
      <c r="L13" s="93"/>
      <c r="M13" s="93"/>
      <c r="N13" s="93"/>
      <c r="O13" s="93"/>
      <c r="P13" s="133"/>
      <c r="Q13" s="134"/>
      <c r="R13" s="134"/>
      <c r="S13" s="135"/>
      <c r="T13" s="134"/>
      <c r="U13" s="134"/>
      <c r="V13" s="134"/>
      <c r="W13" s="93"/>
      <c r="X13" s="134"/>
      <c r="Y13" s="134"/>
      <c r="Z13" s="134"/>
      <c r="AA13" s="135"/>
      <c r="AB13" s="134"/>
      <c r="AC13" s="134"/>
      <c r="AD13" s="134"/>
      <c r="AE13" s="76"/>
      <c r="AF13" s="134"/>
      <c r="AG13" s="134"/>
      <c r="AH13" s="134"/>
      <c r="AI13" s="95"/>
      <c r="AJ13" s="95"/>
      <c r="AK13" s="96"/>
      <c r="AL13" s="97"/>
      <c r="AM13" s="98"/>
      <c r="AN13" s="131"/>
      <c r="AO13" s="136"/>
      <c r="AP13" s="136"/>
      <c r="AQ13" s="137"/>
      <c r="AR13" s="137"/>
      <c r="AS13" s="137"/>
      <c r="AT13" s="137"/>
      <c r="AU13" s="138">
        <f t="shared" si="2"/>
        <v>0</v>
      </c>
      <c r="AV13" s="102" t="e">
        <f>#REF!+#REF!</f>
        <v>#REF!</v>
      </c>
      <c r="AW13" s="22"/>
      <c r="AX13" s="103" t="s">
        <v>60</v>
      </c>
      <c r="AY13" s="85">
        <v>8</v>
      </c>
      <c r="AZ13" s="86">
        <f t="shared" si="3"/>
        <v>0</v>
      </c>
      <c r="BA13" s="86">
        <f t="shared" si="4"/>
        <v>0</v>
      </c>
      <c r="BB13" s="87">
        <f t="shared" si="5"/>
        <v>8</v>
      </c>
      <c r="BC13" s="48">
        <f t="shared" si="6"/>
        <v>0</v>
      </c>
    </row>
    <row r="14" spans="1:55" ht="16.5" customHeight="1">
      <c r="A14" s="116" t="s">
        <v>61</v>
      </c>
      <c r="B14" s="139"/>
      <c r="C14" s="24" t="s">
        <v>62</v>
      </c>
      <c r="D14" s="25">
        <v>18.34</v>
      </c>
      <c r="E14" s="25">
        <f>D14*0.27</f>
        <v>4.9518</v>
      </c>
      <c r="F14" s="26">
        <f t="shared" si="0"/>
        <v>0.27</v>
      </c>
      <c r="G14" s="25">
        <f>D14*1.27</f>
        <v>23.2918</v>
      </c>
      <c r="H14" s="27">
        <f t="shared" si="1"/>
        <v>24.572848999999998</v>
      </c>
      <c r="I14" s="28"/>
      <c r="J14" s="105">
        <v>24.5</v>
      </c>
      <c r="K14" s="129"/>
      <c r="L14" s="129"/>
      <c r="M14" s="129"/>
      <c r="N14" s="129"/>
      <c r="O14" s="31"/>
      <c r="P14" s="32"/>
      <c r="Q14" s="106"/>
      <c r="R14" s="106"/>
      <c r="S14" s="106"/>
      <c r="T14" s="106"/>
      <c r="U14" s="106"/>
      <c r="V14" s="106"/>
      <c r="W14" s="106"/>
      <c r="X14" s="106"/>
      <c r="Y14" s="130"/>
      <c r="Z14" s="130"/>
      <c r="AA14" s="106"/>
      <c r="AB14" s="106"/>
      <c r="AC14" s="106"/>
      <c r="AD14" s="106"/>
      <c r="AE14" s="107"/>
      <c r="AF14" s="106"/>
      <c r="AG14" s="106"/>
      <c r="AH14" s="106"/>
      <c r="AI14" s="36"/>
      <c r="AJ14" s="36"/>
      <c r="AK14" s="37"/>
      <c r="AL14" s="38"/>
      <c r="AM14" s="39"/>
      <c r="AN14" s="108"/>
      <c r="AO14" s="108"/>
      <c r="AP14" s="108"/>
      <c r="AQ14" s="41"/>
      <c r="AR14" s="41"/>
      <c r="AS14" s="41"/>
      <c r="AT14" s="41"/>
      <c r="AU14" s="42">
        <f t="shared" si="2"/>
        <v>0</v>
      </c>
      <c r="AV14" s="43" t="e">
        <f>#REF!</f>
        <v>#REF!</v>
      </c>
      <c r="AW14" s="22"/>
      <c r="AX14" s="44" t="s">
        <v>63</v>
      </c>
      <c r="AY14" s="85">
        <v>0</v>
      </c>
      <c r="AZ14" s="86">
        <f t="shared" si="3"/>
        <v>0</v>
      </c>
      <c r="BA14" s="86">
        <f t="shared" si="4"/>
        <v>0</v>
      </c>
      <c r="BB14" s="87">
        <f t="shared" si="5"/>
        <v>0</v>
      </c>
      <c r="BC14" s="48">
        <f t="shared" si="6"/>
        <v>0</v>
      </c>
    </row>
    <row r="15" spans="1:55" ht="15.75" customHeight="1">
      <c r="A15" s="116"/>
      <c r="B15" s="140"/>
      <c r="C15" s="68" t="s">
        <v>64</v>
      </c>
      <c r="D15" s="69">
        <v>11.75</v>
      </c>
      <c r="E15" s="69">
        <f>D15*0.25</f>
        <v>2.9375</v>
      </c>
      <c r="F15" s="70">
        <f t="shared" si="0"/>
        <v>0.25</v>
      </c>
      <c r="G15" s="69">
        <f>D15*1.25</f>
        <v>14.6875</v>
      </c>
      <c r="H15" s="71">
        <f t="shared" si="1"/>
        <v>15.495312499999999</v>
      </c>
      <c r="I15" s="28"/>
      <c r="J15" s="110">
        <v>15.5</v>
      </c>
      <c r="K15" s="35"/>
      <c r="L15" s="35"/>
      <c r="M15" s="35"/>
      <c r="N15" s="35"/>
      <c r="O15" s="35"/>
      <c r="P15" s="73"/>
      <c r="Q15" s="111"/>
      <c r="R15" s="111"/>
      <c r="S15" s="111"/>
      <c r="T15" s="111"/>
      <c r="U15" s="111"/>
      <c r="V15" s="111"/>
      <c r="W15" s="111"/>
      <c r="X15" s="111"/>
      <c r="Y15" s="35"/>
      <c r="Z15" s="35"/>
      <c r="AA15" s="111"/>
      <c r="AB15" s="111"/>
      <c r="AC15" s="111"/>
      <c r="AD15" s="111"/>
      <c r="AE15" s="76"/>
      <c r="AF15" s="111"/>
      <c r="AG15" s="111"/>
      <c r="AH15" s="111"/>
      <c r="AI15" s="77"/>
      <c r="AJ15" s="77"/>
      <c r="AK15" s="78"/>
      <c r="AL15" s="79"/>
      <c r="AM15" s="80"/>
      <c r="AN15" s="81"/>
      <c r="AO15" s="81"/>
      <c r="AP15" s="81"/>
      <c r="AQ15" s="82"/>
      <c r="AR15" s="82"/>
      <c r="AS15" s="82"/>
      <c r="AT15" s="82"/>
      <c r="AU15" s="83">
        <f t="shared" si="2"/>
        <v>0</v>
      </c>
      <c r="AV15" s="112" t="e">
        <f>#REF!</f>
        <v>#REF!</v>
      </c>
      <c r="AW15" s="22"/>
      <c r="AX15" s="84" t="s">
        <v>65</v>
      </c>
      <c r="AY15" s="85">
        <v>0</v>
      </c>
      <c r="AZ15" s="86">
        <f t="shared" si="3"/>
        <v>0</v>
      </c>
      <c r="BA15" s="86">
        <f t="shared" si="4"/>
        <v>0</v>
      </c>
      <c r="BB15" s="87">
        <f t="shared" si="5"/>
        <v>0</v>
      </c>
      <c r="BC15" s="48">
        <f t="shared" si="6"/>
        <v>0</v>
      </c>
    </row>
    <row r="16" spans="1:55" ht="15.75" customHeight="1">
      <c r="A16" s="116"/>
      <c r="B16" s="141"/>
      <c r="C16" s="68"/>
      <c r="D16" s="142">
        <v>11.16</v>
      </c>
      <c r="E16" s="69">
        <f>D16*0.31</f>
        <v>3.4596</v>
      </c>
      <c r="F16" s="70">
        <f t="shared" si="0"/>
        <v>0.31</v>
      </c>
      <c r="G16" s="69">
        <f>D16*1.31</f>
        <v>14.6196</v>
      </c>
      <c r="H16" s="71">
        <f t="shared" si="1"/>
        <v>15.423677999999999</v>
      </c>
      <c r="I16" s="28"/>
      <c r="J16" s="72">
        <v>15.5</v>
      </c>
      <c r="K16" s="56"/>
      <c r="L16" s="56"/>
      <c r="M16" s="56"/>
      <c r="N16" s="56"/>
      <c r="O16" s="143"/>
      <c r="P16" s="94"/>
      <c r="Q16" s="53"/>
      <c r="R16" s="52"/>
      <c r="S16" s="53"/>
      <c r="T16" s="53"/>
      <c r="U16" s="53"/>
      <c r="V16" s="53"/>
      <c r="W16" s="53"/>
      <c r="X16" s="53"/>
      <c r="Y16" s="56"/>
      <c r="Z16" s="56"/>
      <c r="AA16" s="53"/>
      <c r="AB16" s="53"/>
      <c r="AC16" s="53"/>
      <c r="AD16" s="53"/>
      <c r="AE16" s="55"/>
      <c r="AF16" s="53"/>
      <c r="AG16" s="53"/>
      <c r="AH16" s="53"/>
      <c r="AI16" s="144"/>
      <c r="AJ16" s="144"/>
      <c r="AK16" s="145"/>
      <c r="AL16" s="146"/>
      <c r="AM16" s="147"/>
      <c r="AN16" s="99"/>
      <c r="AO16" s="99"/>
      <c r="AP16" s="99"/>
      <c r="AQ16" s="100"/>
      <c r="AR16" s="100"/>
      <c r="AS16" s="100"/>
      <c r="AT16" s="100"/>
      <c r="AU16" s="101"/>
      <c r="AV16" s="148"/>
      <c r="AW16" s="22"/>
      <c r="AX16" s="149"/>
      <c r="AY16" s="85"/>
      <c r="AZ16" s="86"/>
      <c r="BA16" s="86"/>
      <c r="BB16" s="87"/>
      <c r="BC16" s="48"/>
    </row>
    <row r="17" spans="1:55" ht="15.75" customHeight="1">
      <c r="A17" s="116"/>
      <c r="B17" s="150"/>
      <c r="C17" s="88" t="s">
        <v>66</v>
      </c>
      <c r="D17" s="89">
        <v>6.47</v>
      </c>
      <c r="E17" s="89">
        <f aca="true" t="shared" si="11" ref="E17:E18">D17*0.25</f>
        <v>1.6175</v>
      </c>
      <c r="F17" s="90">
        <f t="shared" si="0"/>
        <v>0.25</v>
      </c>
      <c r="G17" s="89">
        <f aca="true" t="shared" si="12" ref="G17:G18">D17*1.25</f>
        <v>8.0875</v>
      </c>
      <c r="H17" s="91">
        <f t="shared" si="1"/>
        <v>8.5323125</v>
      </c>
      <c r="I17" s="28"/>
      <c r="J17" s="72">
        <v>8.55</v>
      </c>
      <c r="K17" s="151"/>
      <c r="L17" s="151"/>
      <c r="M17" s="151"/>
      <c r="N17" s="151"/>
      <c r="O17" s="93"/>
      <c r="P17" s="94"/>
      <c r="Q17" s="53"/>
      <c r="R17" s="52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5"/>
      <c r="AF17" s="53"/>
      <c r="AG17" s="53"/>
      <c r="AH17" s="53"/>
      <c r="AI17" s="95"/>
      <c r="AJ17" s="95"/>
      <c r="AK17" s="96"/>
      <c r="AL17" s="146"/>
      <c r="AM17" s="98"/>
      <c r="AN17" s="99"/>
      <c r="AO17" s="99"/>
      <c r="AP17" s="99"/>
      <c r="AQ17" s="100"/>
      <c r="AR17" s="100"/>
      <c r="AS17" s="100"/>
      <c r="AT17" s="100"/>
      <c r="AU17" s="101">
        <f>AJ17+AL17+AN17</f>
        <v>0</v>
      </c>
      <c r="AV17" s="102" t="e">
        <f>#REF!</f>
        <v>#REF!</v>
      </c>
      <c r="AW17" s="22"/>
      <c r="AX17" s="103" t="s">
        <v>66</v>
      </c>
      <c r="AY17" s="85">
        <v>0</v>
      </c>
      <c r="AZ17" s="86">
        <f>AG17+AE17+AC17+AA17+Y17+W17+U17+S17+Q17+O17+M17+K17</f>
        <v>0</v>
      </c>
      <c r="BA17" s="86">
        <f>AU17</f>
        <v>0</v>
      </c>
      <c r="BB17" s="87">
        <f>(AY17+AZ17)-BA17</f>
        <v>0</v>
      </c>
      <c r="BC17" s="48">
        <f>IF(BB17&gt;=6,"Ok","Commande")</f>
        <v>0</v>
      </c>
    </row>
    <row r="18" spans="1:55" ht="15.75" customHeight="1">
      <c r="A18" s="23" t="s">
        <v>67</v>
      </c>
      <c r="B18" s="152"/>
      <c r="C18" s="153" t="s">
        <v>68</v>
      </c>
      <c r="D18" s="154">
        <v>5.25</v>
      </c>
      <c r="E18" s="154">
        <f t="shared" si="11"/>
        <v>1.3125</v>
      </c>
      <c r="F18" s="155">
        <f t="shared" si="0"/>
        <v>0.25</v>
      </c>
      <c r="G18" s="154">
        <f t="shared" si="12"/>
        <v>6.5625</v>
      </c>
      <c r="H18" s="156">
        <f t="shared" si="1"/>
        <v>6.9234374999999995</v>
      </c>
      <c r="I18" s="28"/>
      <c r="J18" s="72">
        <v>7</v>
      </c>
      <c r="K18" s="56"/>
      <c r="L18" s="56"/>
      <c r="M18" s="56"/>
      <c r="N18" s="56"/>
      <c r="O18" s="143"/>
      <c r="P18" s="94"/>
      <c r="Q18" s="53"/>
      <c r="R18" s="52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5"/>
      <c r="AF18" s="53"/>
      <c r="AG18" s="53"/>
      <c r="AH18" s="53"/>
      <c r="AI18" s="144"/>
      <c r="AJ18" s="144"/>
      <c r="AK18" s="145"/>
      <c r="AL18" s="146"/>
      <c r="AM18" s="147"/>
      <c r="AN18" s="99"/>
      <c r="AO18" s="99"/>
      <c r="AP18" s="99"/>
      <c r="AQ18" s="100"/>
      <c r="AR18" s="100"/>
      <c r="AS18" s="100"/>
      <c r="AT18" s="100"/>
      <c r="AU18" s="101"/>
      <c r="AV18" s="148"/>
      <c r="AW18" s="22"/>
      <c r="AX18" s="149"/>
      <c r="AY18" s="85"/>
      <c r="AZ18" s="86"/>
      <c r="BA18" s="86"/>
      <c r="BB18" s="87"/>
      <c r="BC18" s="48"/>
    </row>
    <row r="19" spans="1:55" ht="15.75" customHeight="1">
      <c r="A19" s="23"/>
      <c r="B19" s="157"/>
      <c r="C19" s="158" t="s">
        <v>69</v>
      </c>
      <c r="D19" s="154">
        <v>6.63</v>
      </c>
      <c r="E19" s="154">
        <f>D19*0.27</f>
        <v>1.7901</v>
      </c>
      <c r="F19" s="155">
        <f t="shared" si="0"/>
        <v>0.27</v>
      </c>
      <c r="G19" s="154">
        <f>D19*1.27</f>
        <v>8.4201</v>
      </c>
      <c r="H19" s="156">
        <f t="shared" si="1"/>
        <v>8.883205499999999</v>
      </c>
      <c r="I19" s="28"/>
      <c r="J19" s="72">
        <v>8.9</v>
      </c>
      <c r="K19" s="130"/>
      <c r="L19" s="159"/>
      <c r="M19" s="73"/>
      <c r="N19" s="73"/>
      <c r="O19" s="73"/>
      <c r="P19" s="73"/>
      <c r="Q19" s="35"/>
      <c r="R19" s="111"/>
      <c r="S19" s="76"/>
      <c r="T19" s="160"/>
      <c r="U19" s="111"/>
      <c r="V19" s="111"/>
      <c r="W19" s="111"/>
      <c r="X19" s="111"/>
      <c r="Y19" s="76"/>
      <c r="Z19" s="76"/>
      <c r="AA19" s="111"/>
      <c r="AB19" s="111"/>
      <c r="AC19" s="76"/>
      <c r="AD19" s="111"/>
      <c r="AE19" s="111"/>
      <c r="AF19" s="111"/>
      <c r="AG19" s="111"/>
      <c r="AH19" s="111"/>
      <c r="AI19" s="77"/>
      <c r="AJ19" s="77"/>
      <c r="AK19" s="78"/>
      <c r="AL19" s="79"/>
      <c r="AM19" s="80"/>
      <c r="AN19" s="161"/>
      <c r="AO19" s="161"/>
      <c r="AP19" s="161"/>
      <c r="AQ19" s="82"/>
      <c r="AR19" s="82"/>
      <c r="AS19" s="82"/>
      <c r="AT19" s="82"/>
      <c r="AU19" s="83">
        <f aca="true" t="shared" si="13" ref="AU19:AU22">AJ19+AL19+AN19</f>
        <v>0</v>
      </c>
      <c r="AV19" s="112" t="e">
        <f>#REF!+#REF!</f>
        <v>#REF!</v>
      </c>
      <c r="AW19" s="22"/>
      <c r="AX19" s="84" t="s">
        <v>69</v>
      </c>
      <c r="AY19" s="85">
        <v>4</v>
      </c>
      <c r="AZ19" s="86">
        <f aca="true" t="shared" si="14" ref="AZ19:AZ22">AG19+AE19+AC19+AA19+Y19+W19+U19+S19+Q19+O19+M19+K19</f>
        <v>0</v>
      </c>
      <c r="BA19" s="86">
        <f aca="true" t="shared" si="15" ref="BA19:BA22">AU19</f>
        <v>0</v>
      </c>
      <c r="BB19" s="87">
        <f aca="true" t="shared" si="16" ref="BB19:BB22">(AY19+AZ19)-BA19</f>
        <v>4</v>
      </c>
      <c r="BC19" s="48">
        <f aca="true" t="shared" si="17" ref="BC19:BC22">IF(BB19&gt;=6,"Ok","Commande")</f>
        <v>0</v>
      </c>
    </row>
    <row r="20" spans="1:55" ht="16.5" customHeight="1">
      <c r="A20" s="162" t="s">
        <v>70</v>
      </c>
      <c r="B20" s="163" t="s">
        <v>71</v>
      </c>
      <c r="C20" s="164" t="s">
        <v>72</v>
      </c>
      <c r="D20" s="165">
        <v>3.16</v>
      </c>
      <c r="E20" s="165">
        <f>D20*0.31</f>
        <v>0.9796</v>
      </c>
      <c r="F20" s="166">
        <f t="shared" si="0"/>
        <v>0.31</v>
      </c>
      <c r="G20" s="165">
        <f>D20*1.31</f>
        <v>4.139600000000001</v>
      </c>
      <c r="H20" s="165">
        <f aca="true" t="shared" si="18" ref="H20:H22">G20*1.2</f>
        <v>4.96752</v>
      </c>
      <c r="I20" s="167">
        <v>0.2</v>
      </c>
      <c r="J20" s="127">
        <v>5</v>
      </c>
      <c r="K20" s="31"/>
      <c r="L20" s="31"/>
      <c r="M20" s="31"/>
      <c r="N20" s="31"/>
      <c r="O20" s="31"/>
      <c r="P20" s="32"/>
      <c r="Q20" s="107"/>
      <c r="R20" s="106"/>
      <c r="S20" s="106"/>
      <c r="T20" s="106"/>
      <c r="U20" s="106"/>
      <c r="V20" s="106"/>
      <c r="W20" s="31"/>
      <c r="X20" s="31"/>
      <c r="Y20" s="107"/>
      <c r="Z20" s="31"/>
      <c r="AA20" s="34"/>
      <c r="AB20" s="31"/>
      <c r="AC20" s="34"/>
      <c r="AD20" s="31"/>
      <c r="AE20" s="107"/>
      <c r="AF20" s="107"/>
      <c r="AG20" s="31"/>
      <c r="AH20" s="31"/>
      <c r="AI20" s="36"/>
      <c r="AJ20" s="36"/>
      <c r="AK20" s="168"/>
      <c r="AL20" s="169"/>
      <c r="AM20" s="131"/>
      <c r="AN20" s="131"/>
      <c r="AO20" s="132"/>
      <c r="AP20" s="132"/>
      <c r="AQ20" s="170"/>
      <c r="AR20" s="170"/>
      <c r="AS20" s="170"/>
      <c r="AT20" s="170"/>
      <c r="AU20" s="42">
        <f t="shared" si="13"/>
        <v>0</v>
      </c>
      <c r="AV20" s="43" t="e">
        <f>#REF!+#REF!+#REF!</f>
        <v>#REF!</v>
      </c>
      <c r="AW20" s="22"/>
      <c r="AX20" s="44" t="s">
        <v>72</v>
      </c>
      <c r="AY20" s="85">
        <v>29</v>
      </c>
      <c r="AZ20" s="86">
        <f t="shared" si="14"/>
        <v>0</v>
      </c>
      <c r="BA20" s="86">
        <f t="shared" si="15"/>
        <v>0</v>
      </c>
      <c r="BB20" s="87">
        <f t="shared" si="16"/>
        <v>29</v>
      </c>
      <c r="BC20" s="48">
        <f t="shared" si="17"/>
        <v>0</v>
      </c>
    </row>
    <row r="21" spans="1:55" ht="15.75" customHeight="1">
      <c r="A21" s="162"/>
      <c r="B21" s="162"/>
      <c r="C21" s="171" t="s">
        <v>73</v>
      </c>
      <c r="D21" s="172">
        <v>2.81</v>
      </c>
      <c r="E21" s="172">
        <f>D21*0.33</f>
        <v>0.9273</v>
      </c>
      <c r="F21" s="173">
        <f t="shared" si="0"/>
        <v>0.33</v>
      </c>
      <c r="G21" s="172">
        <f>D21*1.33</f>
        <v>3.7373000000000003</v>
      </c>
      <c r="H21" s="172">
        <f t="shared" si="18"/>
        <v>4.4847600000000005</v>
      </c>
      <c r="I21" s="167"/>
      <c r="J21" s="110">
        <v>4.5</v>
      </c>
      <c r="K21" s="35"/>
      <c r="L21" s="35"/>
      <c r="M21" s="35"/>
      <c r="N21" s="35"/>
      <c r="O21" s="35"/>
      <c r="P21" s="174"/>
      <c r="Q21" s="76"/>
      <c r="R21" s="76"/>
      <c r="S21" s="111"/>
      <c r="T21" s="111"/>
      <c r="U21" s="76"/>
      <c r="V21" s="76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77"/>
      <c r="AJ21" s="77"/>
      <c r="AK21" s="175"/>
      <c r="AL21" s="176"/>
      <c r="AM21" s="80"/>
      <c r="AN21" s="81"/>
      <c r="AO21" s="81"/>
      <c r="AP21" s="81"/>
      <c r="AQ21" s="82"/>
      <c r="AR21" s="82"/>
      <c r="AS21" s="82"/>
      <c r="AT21" s="82"/>
      <c r="AU21" s="83">
        <f t="shared" si="13"/>
        <v>0</v>
      </c>
      <c r="AV21" s="112" t="e">
        <f>#REF!</f>
        <v>#REF!</v>
      </c>
      <c r="AW21" s="22"/>
      <c r="AX21" s="84" t="s">
        <v>73</v>
      </c>
      <c r="AY21" s="85">
        <v>13</v>
      </c>
      <c r="AZ21" s="86">
        <f t="shared" si="14"/>
        <v>0</v>
      </c>
      <c r="BA21" s="86">
        <f t="shared" si="15"/>
        <v>0</v>
      </c>
      <c r="BB21" s="87">
        <f t="shared" si="16"/>
        <v>13</v>
      </c>
      <c r="BC21" s="48">
        <f t="shared" si="17"/>
        <v>0</v>
      </c>
    </row>
    <row r="22" spans="1:55" ht="15.75" customHeight="1">
      <c r="A22" s="162"/>
      <c r="B22" s="162"/>
      <c r="C22" s="171" t="s">
        <v>74</v>
      </c>
      <c r="D22" s="172">
        <v>3.16</v>
      </c>
      <c r="E22" s="172">
        <f>D22*0.31</f>
        <v>0.9796</v>
      </c>
      <c r="F22" s="173">
        <f t="shared" si="0"/>
        <v>0.31</v>
      </c>
      <c r="G22" s="172">
        <f>D22*1.31</f>
        <v>4.139600000000001</v>
      </c>
      <c r="H22" s="172">
        <f t="shared" si="18"/>
        <v>4.96752</v>
      </c>
      <c r="I22" s="167"/>
      <c r="J22" s="110">
        <v>5</v>
      </c>
      <c r="K22" s="35"/>
      <c r="L22" s="35"/>
      <c r="M22" s="35"/>
      <c r="N22" s="35"/>
      <c r="O22" s="35"/>
      <c r="P22" s="174"/>
      <c r="Q22" s="76"/>
      <c r="R22" s="76"/>
      <c r="S22" s="76"/>
      <c r="T22" s="111"/>
      <c r="U22" s="76"/>
      <c r="V22" s="76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77"/>
      <c r="AJ22" s="77"/>
      <c r="AK22" s="175"/>
      <c r="AL22" s="177"/>
      <c r="AM22" s="178"/>
      <c r="AN22" s="161"/>
      <c r="AO22" s="161"/>
      <c r="AP22" s="161"/>
      <c r="AQ22" s="179"/>
      <c r="AR22" s="179"/>
      <c r="AS22" s="179"/>
      <c r="AT22" s="179"/>
      <c r="AU22" s="83">
        <f t="shared" si="13"/>
        <v>0</v>
      </c>
      <c r="AV22" s="112" t="e">
        <f>#REF!+#REF!+#REF!</f>
        <v>#REF!</v>
      </c>
      <c r="AW22" s="22"/>
      <c r="AX22" s="84" t="s">
        <v>74</v>
      </c>
      <c r="AY22" s="85">
        <v>24</v>
      </c>
      <c r="AZ22" s="86">
        <f t="shared" si="14"/>
        <v>0</v>
      </c>
      <c r="BA22" s="86">
        <f t="shared" si="15"/>
        <v>0</v>
      </c>
      <c r="BB22" s="87">
        <f t="shared" si="16"/>
        <v>24</v>
      </c>
      <c r="BC22" s="48">
        <f t="shared" si="17"/>
        <v>0</v>
      </c>
    </row>
    <row r="23" spans="1:55" ht="15.75" customHeight="1">
      <c r="A23" s="162"/>
      <c r="B23" s="162"/>
      <c r="C23" s="171" t="s">
        <v>75</v>
      </c>
      <c r="D23" s="172"/>
      <c r="E23" s="172"/>
      <c r="F23" s="173"/>
      <c r="G23" s="172"/>
      <c r="H23" s="172"/>
      <c r="I23" s="167"/>
      <c r="J23" s="110">
        <v>5</v>
      </c>
      <c r="K23" s="35"/>
      <c r="L23" s="35"/>
      <c r="M23" s="35"/>
      <c r="N23" s="35"/>
      <c r="O23" s="35"/>
      <c r="P23" s="174"/>
      <c r="Q23" s="76"/>
      <c r="R23" s="76"/>
      <c r="S23" s="76"/>
      <c r="T23" s="111"/>
      <c r="U23" s="76"/>
      <c r="V23" s="76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77"/>
      <c r="AJ23" s="77"/>
      <c r="AK23" s="175"/>
      <c r="AL23" s="177"/>
      <c r="AM23" s="178"/>
      <c r="AN23" s="161"/>
      <c r="AO23" s="161"/>
      <c r="AP23" s="161"/>
      <c r="AQ23" s="179"/>
      <c r="AR23" s="179"/>
      <c r="AS23" s="179"/>
      <c r="AT23" s="179"/>
      <c r="AU23" s="83"/>
      <c r="AV23" s="112"/>
      <c r="AW23" s="22"/>
      <c r="AX23" s="84"/>
      <c r="AY23" s="85"/>
      <c r="AZ23" s="86"/>
      <c r="BA23" s="86"/>
      <c r="BB23" s="87"/>
      <c r="BC23" s="48"/>
    </row>
    <row r="24" spans="1:55" ht="15.75" customHeight="1">
      <c r="A24" s="162"/>
      <c r="B24" s="162"/>
      <c r="C24" s="171" t="s">
        <v>76</v>
      </c>
      <c r="D24" s="172">
        <v>2.8084</v>
      </c>
      <c r="E24" s="172">
        <f aca="true" t="shared" si="19" ref="E24:E26">D24*0.33</f>
        <v>0.9267719999999999</v>
      </c>
      <c r="F24" s="173">
        <f aca="true" t="shared" si="20" ref="F24:F71">E24/D24</f>
        <v>0.33</v>
      </c>
      <c r="G24" s="172">
        <f aca="true" t="shared" si="21" ref="G24:G26">D24*1.33</f>
        <v>3.735172</v>
      </c>
      <c r="H24" s="172">
        <f aca="true" t="shared" si="22" ref="H24:H42">G24*1.2</f>
        <v>4.4822064</v>
      </c>
      <c r="I24" s="167"/>
      <c r="J24" s="110">
        <v>4.5</v>
      </c>
      <c r="K24" s="35"/>
      <c r="L24" s="35"/>
      <c r="M24" s="35"/>
      <c r="N24" s="35"/>
      <c r="O24" s="35"/>
      <c r="P24" s="174"/>
      <c r="Q24" s="76"/>
      <c r="R24" s="76"/>
      <c r="S24" s="76"/>
      <c r="T24" s="111"/>
      <c r="U24" s="76"/>
      <c r="V24" s="76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77"/>
      <c r="AJ24" s="77"/>
      <c r="AK24" s="175"/>
      <c r="AL24" s="177"/>
      <c r="AM24" s="178"/>
      <c r="AN24" s="161"/>
      <c r="AO24" s="161"/>
      <c r="AP24" s="161"/>
      <c r="AQ24" s="179"/>
      <c r="AR24" s="179"/>
      <c r="AS24" s="179"/>
      <c r="AT24" s="179"/>
      <c r="AU24" s="83">
        <f aca="true" t="shared" si="23" ref="AU24:AU26">AJ24+AL24+AN24</f>
        <v>0</v>
      </c>
      <c r="AV24" s="112" t="e">
        <f>#REF!+#REF!</f>
        <v>#REF!</v>
      </c>
      <c r="AW24" s="22"/>
      <c r="AX24" s="84" t="s">
        <v>77</v>
      </c>
      <c r="AY24" s="85">
        <v>11</v>
      </c>
      <c r="AZ24" s="86">
        <f aca="true" t="shared" si="24" ref="AZ24:AZ26">AG24+AE24+AC24+AA24+Y24+W24+U24+S24+Q24+O24+M24+K24</f>
        <v>0</v>
      </c>
      <c r="BA24" s="86">
        <f aca="true" t="shared" si="25" ref="BA24:BA26">AU24</f>
        <v>0</v>
      </c>
      <c r="BB24" s="87">
        <f aca="true" t="shared" si="26" ref="BB24:BB26">(AY24+AZ24)-BA24</f>
        <v>11</v>
      </c>
      <c r="BC24" s="48">
        <f aca="true" t="shared" si="27" ref="BC24:BC26">IF(BB24&gt;=6,"Ok","Commande")</f>
        <v>0</v>
      </c>
    </row>
    <row r="25" spans="1:55" ht="15.75" customHeight="1">
      <c r="A25" s="162"/>
      <c r="B25" s="162"/>
      <c r="C25" s="171" t="s">
        <v>78</v>
      </c>
      <c r="D25" s="172">
        <v>2.8107</v>
      </c>
      <c r="E25" s="172">
        <f t="shared" si="19"/>
        <v>0.9275310000000001</v>
      </c>
      <c r="F25" s="173">
        <f t="shared" si="20"/>
        <v>0.33</v>
      </c>
      <c r="G25" s="172">
        <f t="shared" si="21"/>
        <v>3.7382310000000003</v>
      </c>
      <c r="H25" s="172">
        <f t="shared" si="22"/>
        <v>4.4858772</v>
      </c>
      <c r="I25" s="167"/>
      <c r="J25" s="110">
        <v>4.5</v>
      </c>
      <c r="K25" s="35"/>
      <c r="L25" s="35"/>
      <c r="M25" s="35"/>
      <c r="N25" s="35"/>
      <c r="O25" s="35"/>
      <c r="P25" s="73"/>
      <c r="Q25" s="76"/>
      <c r="R25" s="76"/>
      <c r="S25" s="111"/>
      <c r="T25" s="111"/>
      <c r="U25" s="76"/>
      <c r="V25" s="76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77"/>
      <c r="AJ25" s="77"/>
      <c r="AK25" s="175"/>
      <c r="AL25" s="176"/>
      <c r="AM25" s="80"/>
      <c r="AN25" s="180"/>
      <c r="AO25" s="180"/>
      <c r="AP25" s="180"/>
      <c r="AQ25" s="181"/>
      <c r="AR25" s="181"/>
      <c r="AS25" s="181"/>
      <c r="AT25" s="181"/>
      <c r="AU25" s="83">
        <f t="shared" si="23"/>
        <v>0</v>
      </c>
      <c r="AV25" s="112" t="e">
        <f>#REF!</f>
        <v>#REF!</v>
      </c>
      <c r="AW25" s="22"/>
      <c r="AX25" s="84" t="s">
        <v>78</v>
      </c>
      <c r="AY25" s="85">
        <v>18</v>
      </c>
      <c r="AZ25" s="86">
        <f t="shared" si="24"/>
        <v>0</v>
      </c>
      <c r="BA25" s="86">
        <f t="shared" si="25"/>
        <v>0</v>
      </c>
      <c r="BB25" s="87">
        <f t="shared" si="26"/>
        <v>18</v>
      </c>
      <c r="BC25" s="48">
        <f t="shared" si="27"/>
        <v>0</v>
      </c>
    </row>
    <row r="26" spans="1:55" ht="15.75" customHeight="1">
      <c r="A26" s="162"/>
      <c r="B26" s="162"/>
      <c r="C26" s="171" t="s">
        <v>79</v>
      </c>
      <c r="D26" s="172">
        <v>3.0087</v>
      </c>
      <c r="E26" s="172">
        <f t="shared" si="19"/>
        <v>0.9928710000000001</v>
      </c>
      <c r="F26" s="173">
        <f t="shared" si="20"/>
        <v>0.33</v>
      </c>
      <c r="G26" s="172">
        <f t="shared" si="21"/>
        <v>4.001571</v>
      </c>
      <c r="H26" s="172">
        <f t="shared" si="22"/>
        <v>4.8018852</v>
      </c>
      <c r="I26" s="167"/>
      <c r="J26" s="110">
        <v>4.8</v>
      </c>
      <c r="K26" s="35"/>
      <c r="L26" s="35"/>
      <c r="M26" s="35"/>
      <c r="N26" s="35"/>
      <c r="O26" s="35"/>
      <c r="P26" s="73"/>
      <c r="Q26" s="76"/>
      <c r="R26" s="76"/>
      <c r="S26" s="76"/>
      <c r="T26" s="111"/>
      <c r="U26" s="76"/>
      <c r="V26" s="76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77"/>
      <c r="AJ26" s="77"/>
      <c r="AK26" s="175"/>
      <c r="AL26" s="176"/>
      <c r="AM26" s="80"/>
      <c r="AN26" s="180"/>
      <c r="AO26" s="180"/>
      <c r="AP26" s="180"/>
      <c r="AQ26" s="181"/>
      <c r="AR26" s="181"/>
      <c r="AS26" s="181"/>
      <c r="AT26" s="181"/>
      <c r="AU26" s="83">
        <f t="shared" si="23"/>
        <v>0</v>
      </c>
      <c r="AV26" s="112" t="e">
        <f>#REF!</f>
        <v>#REF!</v>
      </c>
      <c r="AW26" s="22"/>
      <c r="AX26" s="84" t="s">
        <v>79</v>
      </c>
      <c r="AY26" s="85">
        <v>14</v>
      </c>
      <c r="AZ26" s="86">
        <f t="shared" si="24"/>
        <v>0</v>
      </c>
      <c r="BA26" s="86">
        <f t="shared" si="25"/>
        <v>0</v>
      </c>
      <c r="BB26" s="87">
        <f t="shared" si="26"/>
        <v>14</v>
      </c>
      <c r="BC26" s="48">
        <f t="shared" si="27"/>
        <v>0</v>
      </c>
    </row>
    <row r="27" spans="1:55" ht="15.75" customHeight="1">
      <c r="A27" s="162"/>
      <c r="B27" s="162"/>
      <c r="C27" s="171" t="s">
        <v>80</v>
      </c>
      <c r="D27" s="172">
        <v>4.67</v>
      </c>
      <c r="E27" s="172">
        <f>D27*0.25</f>
        <v>1.1675</v>
      </c>
      <c r="F27" s="173">
        <f t="shared" si="20"/>
        <v>0.25</v>
      </c>
      <c r="G27" s="172">
        <f>D27*1.25</f>
        <v>5.8375</v>
      </c>
      <c r="H27" s="172">
        <f t="shared" si="22"/>
        <v>7.005</v>
      </c>
      <c r="I27" s="167"/>
      <c r="J27" s="110">
        <v>7</v>
      </c>
      <c r="K27" s="35"/>
      <c r="L27" s="35"/>
      <c r="M27" s="35"/>
      <c r="N27" s="35"/>
      <c r="O27" s="35"/>
      <c r="P27" s="73"/>
      <c r="Q27" s="76"/>
      <c r="R27" s="76"/>
      <c r="S27" s="76"/>
      <c r="T27" s="111"/>
      <c r="U27" s="76"/>
      <c r="V27" s="76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77"/>
      <c r="AJ27" s="77"/>
      <c r="AK27" s="175"/>
      <c r="AL27" s="176"/>
      <c r="AM27" s="80"/>
      <c r="AN27" s="180"/>
      <c r="AO27" s="180"/>
      <c r="AP27" s="180"/>
      <c r="AQ27" s="181"/>
      <c r="AR27" s="181"/>
      <c r="AS27" s="181"/>
      <c r="AT27" s="181"/>
      <c r="AU27" s="83"/>
      <c r="AV27" s="112"/>
      <c r="AW27" s="22"/>
      <c r="AX27" s="84"/>
      <c r="AY27" s="85"/>
      <c r="AZ27" s="86"/>
      <c r="BA27" s="86"/>
      <c r="BB27" s="87"/>
      <c r="BC27" s="48"/>
    </row>
    <row r="28" spans="1:55" ht="15.75" customHeight="1">
      <c r="A28" s="162"/>
      <c r="B28" s="162"/>
      <c r="C28" s="171" t="s">
        <v>81</v>
      </c>
      <c r="D28" s="172">
        <v>2.8107</v>
      </c>
      <c r="E28" s="172">
        <f>D28*0.33</f>
        <v>0.9275310000000001</v>
      </c>
      <c r="F28" s="173">
        <f t="shared" si="20"/>
        <v>0.33</v>
      </c>
      <c r="G28" s="172">
        <f>D28*1.33</f>
        <v>3.7382310000000003</v>
      </c>
      <c r="H28" s="172">
        <f t="shared" si="22"/>
        <v>4.4858772</v>
      </c>
      <c r="I28" s="167"/>
      <c r="J28" s="110">
        <v>4.5</v>
      </c>
      <c r="K28" s="35"/>
      <c r="L28" s="35"/>
      <c r="M28" s="35"/>
      <c r="N28" s="35"/>
      <c r="O28" s="35"/>
      <c r="P28" s="73"/>
      <c r="Q28" s="111"/>
      <c r="R28" s="76"/>
      <c r="S28" s="76"/>
      <c r="T28" s="111"/>
      <c r="U28" s="76"/>
      <c r="V28" s="76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77"/>
      <c r="AJ28" s="77"/>
      <c r="AK28" s="175"/>
      <c r="AL28" s="176"/>
      <c r="AM28" s="80"/>
      <c r="AN28" s="180"/>
      <c r="AO28" s="180"/>
      <c r="AP28" s="180"/>
      <c r="AQ28" s="181"/>
      <c r="AR28" s="181"/>
      <c r="AS28" s="181"/>
      <c r="AT28" s="181"/>
      <c r="AU28" s="83">
        <f aca="true" t="shared" si="28" ref="AU28:AU30">AJ28+AL28+AN28</f>
        <v>0</v>
      </c>
      <c r="AV28" s="112" t="e">
        <f>#REF!</f>
        <v>#REF!</v>
      </c>
      <c r="AW28" s="22"/>
      <c r="AX28" s="84" t="s">
        <v>81</v>
      </c>
      <c r="AY28" s="85">
        <v>18</v>
      </c>
      <c r="AZ28" s="86">
        <f aca="true" t="shared" si="29" ref="AZ28:AZ30">AG28+AE28+AC28+AA28+Y28+W28+U28+S28+Q28+O28+M28+K28</f>
        <v>0</v>
      </c>
      <c r="BA28" s="86">
        <f aca="true" t="shared" si="30" ref="BA28:BA30">AU28</f>
        <v>0</v>
      </c>
      <c r="BB28" s="87">
        <f aca="true" t="shared" si="31" ref="BB28:BB30">(AY28+AZ28)-BA28</f>
        <v>18</v>
      </c>
      <c r="BC28" s="48">
        <f aca="true" t="shared" si="32" ref="BC28:BC30">IF(BB28&gt;=6,"Ok","Commande")</f>
        <v>0</v>
      </c>
    </row>
    <row r="29" spans="1:55" ht="15.75" customHeight="1">
      <c r="A29" s="162"/>
      <c r="B29" s="162"/>
      <c r="C29" s="171" t="s">
        <v>82</v>
      </c>
      <c r="D29" s="172">
        <v>3.1008</v>
      </c>
      <c r="E29" s="172">
        <f>D29*0.34</f>
        <v>1.054272</v>
      </c>
      <c r="F29" s="173">
        <f t="shared" si="20"/>
        <v>0.34</v>
      </c>
      <c r="G29" s="172">
        <f>D29*1.34</f>
        <v>4.1550720000000005</v>
      </c>
      <c r="H29" s="172">
        <f t="shared" si="22"/>
        <v>4.9860864000000005</v>
      </c>
      <c r="I29" s="167"/>
      <c r="J29" s="110">
        <v>5</v>
      </c>
      <c r="K29" s="35"/>
      <c r="L29" s="35"/>
      <c r="M29" s="35"/>
      <c r="N29" s="35"/>
      <c r="O29" s="35"/>
      <c r="P29" s="73"/>
      <c r="Q29" s="76"/>
      <c r="R29" s="76"/>
      <c r="S29" s="111"/>
      <c r="T29" s="111"/>
      <c r="U29" s="76"/>
      <c r="V29" s="76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77"/>
      <c r="AJ29" s="77"/>
      <c r="AK29" s="175"/>
      <c r="AL29" s="177"/>
      <c r="AM29" s="178"/>
      <c r="AN29" s="161"/>
      <c r="AO29" s="161"/>
      <c r="AP29" s="161"/>
      <c r="AQ29" s="179"/>
      <c r="AR29" s="179"/>
      <c r="AS29" s="179"/>
      <c r="AT29" s="179"/>
      <c r="AU29" s="83">
        <f t="shared" si="28"/>
        <v>0</v>
      </c>
      <c r="AV29" s="112" t="e">
        <f>#REF!+#REF!+#REF!</f>
        <v>#REF!</v>
      </c>
      <c r="AW29" s="22"/>
      <c r="AX29" s="84" t="s">
        <v>82</v>
      </c>
      <c r="AY29" s="85">
        <v>18</v>
      </c>
      <c r="AZ29" s="86">
        <f t="shared" si="29"/>
        <v>0</v>
      </c>
      <c r="BA29" s="86">
        <f t="shared" si="30"/>
        <v>0</v>
      </c>
      <c r="BB29" s="87">
        <f t="shared" si="31"/>
        <v>18</v>
      </c>
      <c r="BC29" s="48">
        <f t="shared" si="32"/>
        <v>0</v>
      </c>
    </row>
    <row r="30" spans="1:55" ht="15.75" customHeight="1">
      <c r="A30" s="162"/>
      <c r="B30" s="162"/>
      <c r="C30" s="182" t="s">
        <v>83</v>
      </c>
      <c r="D30" s="172">
        <v>2.422</v>
      </c>
      <c r="E30" s="172">
        <f>D30*0.38</f>
        <v>0.9203600000000001</v>
      </c>
      <c r="F30" s="173">
        <f t="shared" si="20"/>
        <v>0.38</v>
      </c>
      <c r="G30" s="172">
        <f>D30*1.38</f>
        <v>3.3423599999999998</v>
      </c>
      <c r="H30" s="172">
        <f t="shared" si="22"/>
        <v>4.010832</v>
      </c>
      <c r="I30" s="167"/>
      <c r="J30" s="183">
        <v>4</v>
      </c>
      <c r="K30" s="143"/>
      <c r="L30" s="143"/>
      <c r="M30" s="143"/>
      <c r="N30" s="143"/>
      <c r="O30" s="143"/>
      <c r="P30" s="73"/>
      <c r="Q30" s="184"/>
      <c r="R30" s="76"/>
      <c r="S30" s="160"/>
      <c r="T30" s="160"/>
      <c r="U30" s="76"/>
      <c r="V30" s="76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4"/>
      <c r="AJ30" s="144"/>
      <c r="AK30" s="185"/>
      <c r="AL30" s="186"/>
      <c r="AM30" s="187"/>
      <c r="AN30" s="188"/>
      <c r="AO30" s="188"/>
      <c r="AP30" s="188"/>
      <c r="AQ30" s="189"/>
      <c r="AR30" s="189"/>
      <c r="AS30" s="189"/>
      <c r="AT30" s="189"/>
      <c r="AU30" s="63">
        <f t="shared" si="28"/>
        <v>0</v>
      </c>
      <c r="AV30" s="148" t="e">
        <f>#REF!+#REF!+#REF!</f>
        <v>#REF!</v>
      </c>
      <c r="AW30" s="22"/>
      <c r="AX30" s="103" t="s">
        <v>83</v>
      </c>
      <c r="AY30" s="85">
        <v>22</v>
      </c>
      <c r="AZ30" s="86">
        <f t="shared" si="29"/>
        <v>0</v>
      </c>
      <c r="BA30" s="86">
        <f t="shared" si="30"/>
        <v>0</v>
      </c>
      <c r="BB30" s="87">
        <f t="shared" si="31"/>
        <v>22</v>
      </c>
      <c r="BC30" s="48">
        <f t="shared" si="32"/>
        <v>0</v>
      </c>
    </row>
    <row r="31" spans="1:55" ht="15.75" customHeight="1">
      <c r="A31" s="162"/>
      <c r="B31" s="162"/>
      <c r="C31" s="182" t="s">
        <v>84</v>
      </c>
      <c r="D31" s="190">
        <v>2.63</v>
      </c>
      <c r="E31" s="190">
        <f>D31*0.43</f>
        <v>1.1309</v>
      </c>
      <c r="F31" s="191">
        <f t="shared" si="20"/>
        <v>0.43000000000000005</v>
      </c>
      <c r="G31" s="190">
        <f>D31*1.43</f>
        <v>3.7608999999999995</v>
      </c>
      <c r="H31" s="190">
        <f t="shared" si="22"/>
        <v>4.5130799999999995</v>
      </c>
      <c r="I31" s="167"/>
      <c r="J31" s="183">
        <v>4.5</v>
      </c>
      <c r="K31" s="143"/>
      <c r="L31" s="143"/>
      <c r="M31" s="143"/>
      <c r="N31" s="143"/>
      <c r="O31" s="143"/>
      <c r="P31" s="73"/>
      <c r="Q31" s="184"/>
      <c r="R31" s="76"/>
      <c r="S31" s="160"/>
      <c r="T31" s="160"/>
      <c r="U31" s="76"/>
      <c r="V31" s="76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4"/>
      <c r="AJ31" s="144"/>
      <c r="AK31" s="185"/>
      <c r="AL31" s="186"/>
      <c r="AM31" s="187"/>
      <c r="AN31" s="188"/>
      <c r="AO31" s="188"/>
      <c r="AP31" s="188"/>
      <c r="AQ31" s="189"/>
      <c r="AR31" s="189"/>
      <c r="AS31" s="189"/>
      <c r="AT31" s="189"/>
      <c r="AU31" s="63"/>
      <c r="AV31" s="148"/>
      <c r="AW31" s="22"/>
      <c r="AX31" s="192"/>
      <c r="AY31" s="85"/>
      <c r="AZ31" s="86"/>
      <c r="BA31" s="86"/>
      <c r="BB31" s="87"/>
      <c r="BC31" s="48"/>
    </row>
    <row r="32" spans="1:55" ht="15.75" customHeight="1">
      <c r="A32" s="163" t="s">
        <v>85</v>
      </c>
      <c r="B32" s="163"/>
      <c r="C32" s="164" t="s">
        <v>86</v>
      </c>
      <c r="D32" s="165">
        <v>4.133</v>
      </c>
      <c r="E32" s="165">
        <f aca="true" t="shared" si="33" ref="E32:E34">D32*0.41</f>
        <v>1.6945299999999999</v>
      </c>
      <c r="F32" s="166">
        <f t="shared" si="20"/>
        <v>0.41</v>
      </c>
      <c r="G32" s="165">
        <f aca="true" t="shared" si="34" ref="G32:G34">D32*1.41</f>
        <v>5.827529999999999</v>
      </c>
      <c r="H32" s="165">
        <f t="shared" si="22"/>
        <v>6.993035999999999</v>
      </c>
      <c r="I32" s="167"/>
      <c r="J32" s="183">
        <v>7</v>
      </c>
      <c r="K32" s="143"/>
      <c r="L32" s="143"/>
      <c r="M32" s="143"/>
      <c r="N32" s="143"/>
      <c r="O32" s="143"/>
      <c r="P32" s="73"/>
      <c r="Q32" s="184"/>
      <c r="R32" s="76"/>
      <c r="S32" s="160"/>
      <c r="T32" s="160"/>
      <c r="U32" s="76"/>
      <c r="V32" s="76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4"/>
      <c r="AJ32" s="144"/>
      <c r="AK32" s="185"/>
      <c r="AL32" s="186"/>
      <c r="AM32" s="187"/>
      <c r="AN32" s="188"/>
      <c r="AO32" s="188"/>
      <c r="AP32" s="188"/>
      <c r="AQ32" s="189"/>
      <c r="AR32" s="189"/>
      <c r="AS32" s="189"/>
      <c r="AT32" s="189"/>
      <c r="AU32" s="63"/>
      <c r="AV32" s="148"/>
      <c r="AW32" s="22"/>
      <c r="AX32" s="192"/>
      <c r="AY32" s="85"/>
      <c r="AZ32" s="86"/>
      <c r="BA32" s="86"/>
      <c r="BB32" s="87"/>
      <c r="BC32" s="48"/>
    </row>
    <row r="33" spans="1:55" ht="15.75" customHeight="1">
      <c r="A33" s="163"/>
      <c r="B33" s="163"/>
      <c r="C33" s="171" t="s">
        <v>87</v>
      </c>
      <c r="D33" s="172">
        <v>4.133</v>
      </c>
      <c r="E33" s="172">
        <f t="shared" si="33"/>
        <v>1.6945299999999999</v>
      </c>
      <c r="F33" s="173">
        <f t="shared" si="20"/>
        <v>0.41</v>
      </c>
      <c r="G33" s="172">
        <f t="shared" si="34"/>
        <v>5.827529999999999</v>
      </c>
      <c r="H33" s="172">
        <f t="shared" si="22"/>
        <v>6.993035999999999</v>
      </c>
      <c r="I33" s="167"/>
      <c r="J33" s="183">
        <v>7</v>
      </c>
      <c r="K33" s="143"/>
      <c r="L33" s="143"/>
      <c r="M33" s="143"/>
      <c r="N33" s="143"/>
      <c r="O33" s="143"/>
      <c r="P33" s="73"/>
      <c r="Q33" s="184"/>
      <c r="R33" s="76"/>
      <c r="S33" s="160"/>
      <c r="T33" s="160"/>
      <c r="U33" s="76"/>
      <c r="V33" s="76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4"/>
      <c r="AJ33" s="144"/>
      <c r="AK33" s="185"/>
      <c r="AL33" s="186"/>
      <c r="AM33" s="187"/>
      <c r="AN33" s="188"/>
      <c r="AO33" s="188"/>
      <c r="AP33" s="188"/>
      <c r="AQ33" s="189"/>
      <c r="AR33" s="189"/>
      <c r="AS33" s="189"/>
      <c r="AT33" s="189"/>
      <c r="AU33" s="63"/>
      <c r="AV33" s="148"/>
      <c r="AW33" s="22"/>
      <c r="AX33" s="192"/>
      <c r="AY33" s="85"/>
      <c r="AZ33" s="86"/>
      <c r="BA33" s="86"/>
      <c r="BB33" s="87"/>
      <c r="BC33" s="48"/>
    </row>
    <row r="34" spans="1:55" ht="15.75" customHeight="1">
      <c r="A34" s="163"/>
      <c r="B34" s="163"/>
      <c r="C34" s="171" t="s">
        <v>88</v>
      </c>
      <c r="D34" s="172">
        <v>4.133</v>
      </c>
      <c r="E34" s="172">
        <f t="shared" si="33"/>
        <v>1.6945299999999999</v>
      </c>
      <c r="F34" s="173">
        <f t="shared" si="20"/>
        <v>0.41</v>
      </c>
      <c r="G34" s="172">
        <f t="shared" si="34"/>
        <v>5.827529999999999</v>
      </c>
      <c r="H34" s="172">
        <f t="shared" si="22"/>
        <v>6.993035999999999</v>
      </c>
      <c r="I34" s="167"/>
      <c r="J34" s="183">
        <v>7</v>
      </c>
      <c r="K34" s="143"/>
      <c r="L34" s="143"/>
      <c r="M34" s="143"/>
      <c r="N34" s="143"/>
      <c r="O34" s="143"/>
      <c r="P34" s="73"/>
      <c r="Q34" s="184"/>
      <c r="R34" s="76"/>
      <c r="S34" s="160"/>
      <c r="T34" s="160"/>
      <c r="U34" s="76"/>
      <c r="V34" s="76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4"/>
      <c r="AJ34" s="144"/>
      <c r="AK34" s="185"/>
      <c r="AL34" s="186"/>
      <c r="AM34" s="187"/>
      <c r="AN34" s="188"/>
      <c r="AO34" s="188"/>
      <c r="AP34" s="188"/>
      <c r="AQ34" s="189"/>
      <c r="AR34" s="189"/>
      <c r="AS34" s="189"/>
      <c r="AT34" s="189"/>
      <c r="AU34" s="63"/>
      <c r="AV34" s="148"/>
      <c r="AW34" s="22"/>
      <c r="AX34" s="192"/>
      <c r="AY34" s="85"/>
      <c r="AZ34" s="86"/>
      <c r="BA34" s="86"/>
      <c r="BB34" s="87"/>
      <c r="BC34" s="48"/>
    </row>
    <row r="35" spans="1:55" ht="15.75" customHeight="1">
      <c r="A35" s="163"/>
      <c r="B35" s="163"/>
      <c r="C35" s="171" t="s">
        <v>89</v>
      </c>
      <c r="D35" s="172">
        <v>4.56</v>
      </c>
      <c r="E35" s="172">
        <f>D35*0.46</f>
        <v>2.0976</v>
      </c>
      <c r="F35" s="173">
        <f t="shared" si="20"/>
        <v>0.46</v>
      </c>
      <c r="G35" s="172">
        <f>D35*1.46</f>
        <v>6.6575999999999995</v>
      </c>
      <c r="H35" s="172">
        <f t="shared" si="22"/>
        <v>7.989119999999999</v>
      </c>
      <c r="I35" s="167"/>
      <c r="J35" s="183">
        <v>8</v>
      </c>
      <c r="K35" s="143"/>
      <c r="L35" s="143"/>
      <c r="M35" s="143"/>
      <c r="N35" s="143"/>
      <c r="O35" s="143"/>
      <c r="P35" s="73"/>
      <c r="Q35" s="184"/>
      <c r="R35" s="76"/>
      <c r="S35" s="160"/>
      <c r="T35" s="160"/>
      <c r="U35" s="76"/>
      <c r="V35" s="76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4"/>
      <c r="AJ35" s="144"/>
      <c r="AK35" s="185"/>
      <c r="AL35" s="186"/>
      <c r="AM35" s="187"/>
      <c r="AN35" s="188"/>
      <c r="AO35" s="188"/>
      <c r="AP35" s="188"/>
      <c r="AQ35" s="189"/>
      <c r="AR35" s="189"/>
      <c r="AS35" s="189"/>
      <c r="AT35" s="189"/>
      <c r="AU35" s="63"/>
      <c r="AV35" s="148"/>
      <c r="AW35" s="22"/>
      <c r="AX35" s="192"/>
      <c r="AY35" s="85"/>
      <c r="AZ35" s="86"/>
      <c r="BA35" s="86"/>
      <c r="BB35" s="87"/>
      <c r="BC35" s="48"/>
    </row>
    <row r="36" spans="1:55" ht="15.75" customHeight="1">
      <c r="A36" s="163"/>
      <c r="B36" s="163"/>
      <c r="C36" s="171" t="s">
        <v>90</v>
      </c>
      <c r="D36" s="172">
        <v>3.4</v>
      </c>
      <c r="E36" s="172">
        <f>D36*0.71</f>
        <v>2.4139999999999997</v>
      </c>
      <c r="F36" s="173">
        <f t="shared" si="20"/>
        <v>0.71</v>
      </c>
      <c r="G36" s="172">
        <f>D36*1.71</f>
        <v>5.814</v>
      </c>
      <c r="H36" s="172">
        <f t="shared" si="22"/>
        <v>6.9768</v>
      </c>
      <c r="I36" s="167"/>
      <c r="J36" s="193">
        <v>7</v>
      </c>
      <c r="K36" s="143"/>
      <c r="L36" s="143"/>
      <c r="M36" s="143"/>
      <c r="N36" s="143"/>
      <c r="O36" s="143"/>
      <c r="P36" s="73"/>
      <c r="Q36" s="184"/>
      <c r="R36" s="76"/>
      <c r="S36" s="160"/>
      <c r="T36" s="160"/>
      <c r="U36" s="76"/>
      <c r="V36" s="76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4"/>
      <c r="AJ36" s="144"/>
      <c r="AK36" s="185"/>
      <c r="AL36" s="186"/>
      <c r="AM36" s="187"/>
      <c r="AN36" s="188"/>
      <c r="AO36" s="188"/>
      <c r="AP36" s="188"/>
      <c r="AQ36" s="189"/>
      <c r="AR36" s="189"/>
      <c r="AS36" s="189"/>
      <c r="AT36" s="189"/>
      <c r="AU36" s="63"/>
      <c r="AV36" s="148"/>
      <c r="AW36" s="22"/>
      <c r="AX36" s="192"/>
      <c r="AY36" s="85"/>
      <c r="AZ36" s="86"/>
      <c r="BA36" s="86"/>
      <c r="BB36" s="87"/>
      <c r="BC36" s="48"/>
    </row>
    <row r="37" spans="1:55" ht="15.75" customHeight="1">
      <c r="A37" s="163"/>
      <c r="B37" s="163"/>
      <c r="C37" s="194" t="s">
        <v>91</v>
      </c>
      <c r="D37" s="190">
        <v>1.81</v>
      </c>
      <c r="E37" s="190">
        <f>D37*0.45</f>
        <v>0.8145</v>
      </c>
      <c r="F37" s="191">
        <f t="shared" si="20"/>
        <v>0.45</v>
      </c>
      <c r="G37" s="190">
        <f>D37*1.45</f>
        <v>2.6245</v>
      </c>
      <c r="H37" s="190">
        <f t="shared" si="22"/>
        <v>3.1493999999999995</v>
      </c>
      <c r="I37" s="167"/>
      <c r="J37" s="92">
        <v>3.15</v>
      </c>
      <c r="K37" s="93"/>
      <c r="L37" s="93"/>
      <c r="M37" s="93"/>
      <c r="N37" s="93"/>
      <c r="O37" s="93"/>
      <c r="P37" s="133"/>
      <c r="Q37" s="135"/>
      <c r="R37" s="195"/>
      <c r="S37" s="134"/>
      <c r="T37" s="134"/>
      <c r="U37" s="195"/>
      <c r="V37" s="195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5"/>
      <c r="AJ37" s="95"/>
      <c r="AK37" s="196"/>
      <c r="AL37" s="197"/>
      <c r="AM37" s="198"/>
      <c r="AN37" s="199"/>
      <c r="AO37" s="199"/>
      <c r="AP37" s="199"/>
      <c r="AQ37" s="200"/>
      <c r="AR37" s="200"/>
      <c r="AS37" s="189"/>
      <c r="AT37" s="189"/>
      <c r="AU37" s="63">
        <f aca="true" t="shared" si="35" ref="AU37:AU42">AJ37+AL37+AN37</f>
        <v>0</v>
      </c>
      <c r="AV37" s="102" t="e">
        <f>#REF!+#REF!</f>
        <v>#REF!</v>
      </c>
      <c r="AW37" s="22"/>
      <c r="AX37" s="192" t="s">
        <v>92</v>
      </c>
      <c r="AY37" s="85"/>
      <c r="AZ37" s="86">
        <v>24</v>
      </c>
      <c r="BA37" s="86">
        <f aca="true" t="shared" si="36" ref="BA37:BA41">AU37</f>
        <v>0</v>
      </c>
      <c r="BB37" s="87">
        <f aca="true" t="shared" si="37" ref="BB37:BB41">(AY37+AZ37)-BA37</f>
        <v>24</v>
      </c>
      <c r="BC37" s="48">
        <f>IF(BB30&gt;=6,"Ok","Commande")</f>
        <v>0</v>
      </c>
    </row>
    <row r="38" spans="1:55" ht="15.75" customHeight="1">
      <c r="A38" s="116"/>
      <c r="B38" s="139"/>
      <c r="C38" s="24" t="s">
        <v>93</v>
      </c>
      <c r="D38" s="165">
        <v>4</v>
      </c>
      <c r="E38" s="165">
        <v>1</v>
      </c>
      <c r="F38" s="166">
        <f t="shared" si="20"/>
        <v>0.25</v>
      </c>
      <c r="G38" s="165">
        <f aca="true" t="shared" si="38" ref="G38:G40">D38*1.25</f>
        <v>5</v>
      </c>
      <c r="H38" s="165">
        <f t="shared" si="22"/>
        <v>6</v>
      </c>
      <c r="I38" s="167"/>
      <c r="J38" s="183">
        <v>6</v>
      </c>
      <c r="K38" s="73"/>
      <c r="L38" s="73"/>
      <c r="M38" s="73"/>
      <c r="N38" s="73"/>
      <c r="O38" s="35"/>
      <c r="P38" s="73"/>
      <c r="Q38" s="111"/>
      <c r="R38" s="111"/>
      <c r="S38" s="111"/>
      <c r="T38" s="111"/>
      <c r="U38" s="111"/>
      <c r="V38" s="111"/>
      <c r="W38" s="35"/>
      <c r="X38" s="111"/>
      <c r="Y38" s="111"/>
      <c r="Z38" s="111"/>
      <c r="AA38" s="111"/>
      <c r="AB38" s="111"/>
      <c r="AC38" s="111"/>
      <c r="AD38" s="111"/>
      <c r="AE38" s="76"/>
      <c r="AF38" s="111"/>
      <c r="AG38" s="111"/>
      <c r="AH38" s="111"/>
      <c r="AI38" s="77"/>
      <c r="AJ38" s="77"/>
      <c r="AK38" s="175"/>
      <c r="AL38" s="177"/>
      <c r="AM38" s="178"/>
      <c r="AN38" s="161"/>
      <c r="AO38" s="161"/>
      <c r="AP38" s="161"/>
      <c r="AQ38" s="179"/>
      <c r="AR38" s="179"/>
      <c r="AS38" s="179"/>
      <c r="AT38" s="179"/>
      <c r="AU38" s="83">
        <f t="shared" si="35"/>
        <v>0</v>
      </c>
      <c r="AV38" s="112" t="e">
        <f>#REF!+#REF!</f>
        <v>#REF!</v>
      </c>
      <c r="AW38" s="22"/>
      <c r="AX38" s="84" t="s">
        <v>93</v>
      </c>
      <c r="AY38" s="85">
        <v>29</v>
      </c>
      <c r="AZ38" s="86">
        <f aca="true" t="shared" si="39" ref="AZ38:AZ41">AG38+AE38+AC38+AA38+Y38+W38+U38+S38+Q38+O38+M38+K38</f>
        <v>0</v>
      </c>
      <c r="BA38" s="86">
        <f t="shared" si="36"/>
        <v>0</v>
      </c>
      <c r="BB38" s="87">
        <f t="shared" si="37"/>
        <v>29</v>
      </c>
      <c r="BC38" s="48">
        <f aca="true" t="shared" si="40" ref="BC38:BC41">IF(BB38&gt;=6,"Ok","Commande")</f>
        <v>0</v>
      </c>
    </row>
    <row r="39" spans="1:55" ht="15.75" customHeight="1">
      <c r="A39" s="116"/>
      <c r="B39" s="140" t="s">
        <v>94</v>
      </c>
      <c r="C39" s="68" t="s">
        <v>95</v>
      </c>
      <c r="D39" s="172">
        <v>6.67</v>
      </c>
      <c r="E39" s="172">
        <f aca="true" t="shared" si="41" ref="E39:E40">D39*0.25</f>
        <v>1.6675</v>
      </c>
      <c r="F39" s="173">
        <f t="shared" si="20"/>
        <v>0.25</v>
      </c>
      <c r="G39" s="172">
        <f t="shared" si="38"/>
        <v>8.3375</v>
      </c>
      <c r="H39" s="172">
        <f t="shared" si="22"/>
        <v>10.005</v>
      </c>
      <c r="I39" s="167"/>
      <c r="J39" s="183">
        <v>10</v>
      </c>
      <c r="K39" s="73"/>
      <c r="L39" s="73"/>
      <c r="M39" s="73"/>
      <c r="N39" s="73"/>
      <c r="O39" s="35"/>
      <c r="P39" s="73"/>
      <c r="Q39" s="111"/>
      <c r="R39" s="111"/>
      <c r="S39" s="111"/>
      <c r="T39" s="111"/>
      <c r="U39" s="111"/>
      <c r="V39" s="111"/>
      <c r="W39" s="35"/>
      <c r="X39" s="111"/>
      <c r="Y39" s="76"/>
      <c r="Z39" s="111"/>
      <c r="AA39" s="111"/>
      <c r="AB39" s="111"/>
      <c r="AC39" s="111"/>
      <c r="AD39" s="111"/>
      <c r="AE39" s="76"/>
      <c r="AF39" s="111"/>
      <c r="AG39" s="111"/>
      <c r="AH39" s="111"/>
      <c r="AI39" s="77"/>
      <c r="AJ39" s="77"/>
      <c r="AK39" s="175"/>
      <c r="AL39" s="177"/>
      <c r="AM39" s="80"/>
      <c r="AN39" s="161"/>
      <c r="AO39" s="161"/>
      <c r="AP39" s="161"/>
      <c r="AQ39" s="82"/>
      <c r="AR39" s="82"/>
      <c r="AS39" s="82"/>
      <c r="AT39" s="82"/>
      <c r="AU39" s="83">
        <f t="shared" si="35"/>
        <v>0</v>
      </c>
      <c r="AV39" s="112" t="e">
        <f>#REF!+#REF!+#REF!</f>
        <v>#REF!</v>
      </c>
      <c r="AW39" s="22"/>
      <c r="AX39" s="84" t="s">
        <v>95</v>
      </c>
      <c r="AY39" s="85">
        <v>2</v>
      </c>
      <c r="AZ39" s="86">
        <f t="shared" si="39"/>
        <v>0</v>
      </c>
      <c r="BA39" s="86">
        <f t="shared" si="36"/>
        <v>0</v>
      </c>
      <c r="BB39" s="87">
        <f t="shared" si="37"/>
        <v>2</v>
      </c>
      <c r="BC39" s="48">
        <f t="shared" si="40"/>
        <v>0</v>
      </c>
    </row>
    <row r="40" spans="1:55" ht="15.75" customHeight="1">
      <c r="A40" s="116"/>
      <c r="B40" s="150"/>
      <c r="C40" s="88" t="s">
        <v>96</v>
      </c>
      <c r="D40" s="190">
        <v>6.67</v>
      </c>
      <c r="E40" s="190">
        <f t="shared" si="41"/>
        <v>1.6675</v>
      </c>
      <c r="F40" s="191">
        <f t="shared" si="20"/>
        <v>0.25</v>
      </c>
      <c r="G40" s="190">
        <f t="shared" si="38"/>
        <v>8.3375</v>
      </c>
      <c r="H40" s="190">
        <f t="shared" si="22"/>
        <v>10.005</v>
      </c>
      <c r="I40" s="167"/>
      <c r="J40" s="201">
        <v>10</v>
      </c>
      <c r="K40" s="202"/>
      <c r="L40" s="202"/>
      <c r="M40" s="202"/>
      <c r="N40" s="202"/>
      <c r="O40" s="143"/>
      <c r="P40" s="202"/>
      <c r="Q40" s="160"/>
      <c r="R40" s="160"/>
      <c r="S40" s="160"/>
      <c r="T40" s="160"/>
      <c r="U40" s="160"/>
      <c r="V40" s="160"/>
      <c r="W40" s="184"/>
      <c r="X40" s="111"/>
      <c r="Y40" s="160"/>
      <c r="Z40" s="160"/>
      <c r="AA40" s="160"/>
      <c r="AB40" s="160"/>
      <c r="AC40" s="160"/>
      <c r="AD40" s="160"/>
      <c r="AE40" s="184"/>
      <c r="AF40" s="160"/>
      <c r="AG40" s="160"/>
      <c r="AH40" s="160"/>
      <c r="AI40" s="95"/>
      <c r="AJ40" s="95"/>
      <c r="AK40" s="196"/>
      <c r="AL40" s="186"/>
      <c r="AM40" s="98"/>
      <c r="AN40" s="203"/>
      <c r="AO40" s="188"/>
      <c r="AP40" s="188"/>
      <c r="AQ40" s="100"/>
      <c r="AR40" s="100"/>
      <c r="AS40" s="100"/>
      <c r="AT40" s="100"/>
      <c r="AU40" s="101">
        <f t="shared" si="35"/>
        <v>0</v>
      </c>
      <c r="AV40" s="102" t="e">
        <f>#REF!+#REF!+#REF!</f>
        <v>#REF!</v>
      </c>
      <c r="AW40" s="22"/>
      <c r="AX40" s="103" t="s">
        <v>96</v>
      </c>
      <c r="AY40" s="85">
        <v>5</v>
      </c>
      <c r="AZ40" s="86">
        <f t="shared" si="39"/>
        <v>0</v>
      </c>
      <c r="BA40" s="86">
        <f t="shared" si="36"/>
        <v>0</v>
      </c>
      <c r="BB40" s="87">
        <f t="shared" si="37"/>
        <v>5</v>
      </c>
      <c r="BC40" s="48">
        <f t="shared" si="40"/>
        <v>0</v>
      </c>
    </row>
    <row r="41" spans="1:55" ht="16.5" customHeight="1">
      <c r="A41" s="157" t="s">
        <v>97</v>
      </c>
      <c r="B41" s="157"/>
      <c r="C41" s="204" t="s">
        <v>98</v>
      </c>
      <c r="D41" s="205">
        <v>5.625</v>
      </c>
      <c r="E41" s="205">
        <f>D41*0.48</f>
        <v>2.6999999999999997</v>
      </c>
      <c r="F41" s="206">
        <f t="shared" si="20"/>
        <v>0.4799999999999999</v>
      </c>
      <c r="G41" s="205">
        <f>D41*1.48</f>
        <v>8.325</v>
      </c>
      <c r="H41" s="205">
        <f t="shared" si="22"/>
        <v>9.989999999999998</v>
      </c>
      <c r="I41" s="167"/>
      <c r="J41" s="127">
        <v>10</v>
      </c>
      <c r="K41" s="129"/>
      <c r="L41" s="129"/>
      <c r="M41" s="129"/>
      <c r="N41" s="129"/>
      <c r="O41" s="207"/>
      <c r="P41" s="106"/>
      <c r="Q41" s="106"/>
      <c r="R41" s="106"/>
      <c r="S41" s="106"/>
      <c r="T41" s="106"/>
      <c r="U41" s="106"/>
      <c r="V41" s="106"/>
      <c r="W41" s="207"/>
      <c r="X41" s="106"/>
      <c r="Y41" s="106"/>
      <c r="Z41" s="106"/>
      <c r="AA41" s="106"/>
      <c r="AB41" s="106"/>
      <c r="AC41" s="106"/>
      <c r="AD41" s="106"/>
      <c r="AE41" s="107"/>
      <c r="AF41" s="106"/>
      <c r="AG41" s="106"/>
      <c r="AH41" s="106"/>
      <c r="AI41" s="208"/>
      <c r="AJ41" s="208"/>
      <c r="AK41" s="209"/>
      <c r="AL41" s="210"/>
      <c r="AM41" s="40"/>
      <c r="AN41" s="108"/>
      <c r="AO41" s="108"/>
      <c r="AP41" s="108"/>
      <c r="AQ41" s="41"/>
      <c r="AR41" s="41"/>
      <c r="AS41" s="41"/>
      <c r="AT41" s="41"/>
      <c r="AU41" s="42">
        <f t="shared" si="35"/>
        <v>0</v>
      </c>
      <c r="AV41" s="211" t="e">
        <f>#REF!</f>
        <v>#REF!</v>
      </c>
      <c r="AW41" s="22"/>
      <c r="AX41" s="192" t="s">
        <v>98</v>
      </c>
      <c r="AY41" s="85">
        <v>16</v>
      </c>
      <c r="AZ41" s="86">
        <f t="shared" si="39"/>
        <v>0</v>
      </c>
      <c r="BA41" s="86">
        <f t="shared" si="36"/>
        <v>0</v>
      </c>
      <c r="BB41" s="87">
        <f t="shared" si="37"/>
        <v>16</v>
      </c>
      <c r="BC41" s="48">
        <f t="shared" si="40"/>
        <v>0</v>
      </c>
    </row>
    <row r="42" spans="1:55" ht="16.5" customHeight="1">
      <c r="A42" s="212" t="s">
        <v>99</v>
      </c>
      <c r="B42" s="157"/>
      <c r="C42" s="213" t="s">
        <v>100</v>
      </c>
      <c r="D42" s="214">
        <v>6.5</v>
      </c>
      <c r="E42" s="214">
        <f>D42*0.26</f>
        <v>1.69</v>
      </c>
      <c r="F42" s="215">
        <f t="shared" si="20"/>
        <v>0.26</v>
      </c>
      <c r="G42" s="214">
        <f>D42*1.26</f>
        <v>8.19</v>
      </c>
      <c r="H42" s="214">
        <f t="shared" si="22"/>
        <v>9.828</v>
      </c>
      <c r="I42" s="167"/>
      <c r="J42" s="127">
        <v>9.9</v>
      </c>
      <c r="K42" s="129"/>
      <c r="L42" s="129"/>
      <c r="M42" s="129"/>
      <c r="N42" s="129"/>
      <c r="O42" s="207"/>
      <c r="P42" s="106"/>
      <c r="Q42" s="106"/>
      <c r="R42" s="106"/>
      <c r="S42" s="106"/>
      <c r="T42" s="106"/>
      <c r="U42" s="106"/>
      <c r="V42" s="106"/>
      <c r="W42" s="207"/>
      <c r="X42" s="106"/>
      <c r="Y42" s="106"/>
      <c r="Z42" s="106"/>
      <c r="AA42" s="106"/>
      <c r="AB42" s="106"/>
      <c r="AC42" s="107"/>
      <c r="AD42" s="106"/>
      <c r="AE42" s="107"/>
      <c r="AF42" s="106"/>
      <c r="AG42" s="106"/>
      <c r="AH42" s="106"/>
      <c r="AI42" s="208"/>
      <c r="AJ42" s="208"/>
      <c r="AK42" s="209"/>
      <c r="AL42" s="210"/>
      <c r="AM42" s="40"/>
      <c r="AN42" s="108"/>
      <c r="AO42" s="108"/>
      <c r="AP42" s="108"/>
      <c r="AQ42" s="41"/>
      <c r="AR42" s="41"/>
      <c r="AS42" s="41"/>
      <c r="AT42" s="41"/>
      <c r="AU42" s="42">
        <f t="shared" si="35"/>
        <v>0</v>
      </c>
      <c r="AV42" s="211" t="e">
        <f>#REF!</f>
        <v>#REF!</v>
      </c>
      <c r="AW42" s="22"/>
      <c r="AX42" s="192"/>
      <c r="AY42" s="85"/>
      <c r="AZ42" s="86"/>
      <c r="BA42" s="86"/>
      <c r="BB42" s="87"/>
      <c r="BC42" s="48"/>
    </row>
    <row r="43" spans="1:55" ht="16.5" customHeight="1">
      <c r="A43" s="163" t="s">
        <v>101</v>
      </c>
      <c r="B43" s="157"/>
      <c r="C43" s="213" t="s">
        <v>102</v>
      </c>
      <c r="D43" s="216">
        <v>3.6</v>
      </c>
      <c r="E43" s="216">
        <f aca="true" t="shared" si="42" ref="E43:E44">D43*0.63</f>
        <v>2.2680000000000002</v>
      </c>
      <c r="F43" s="217">
        <f t="shared" si="20"/>
        <v>0.63</v>
      </c>
      <c r="G43" s="216">
        <f aca="true" t="shared" si="43" ref="G43:G44">D43*1.63</f>
        <v>5.867999999999999</v>
      </c>
      <c r="H43" s="216">
        <f aca="true" t="shared" si="44" ref="H43:H44">G43*1.055</f>
        <v>6.190739999999999</v>
      </c>
      <c r="I43" s="218">
        <v>0.055</v>
      </c>
      <c r="J43" s="127">
        <v>6.2</v>
      </c>
      <c r="K43" s="129"/>
      <c r="L43" s="129"/>
      <c r="M43" s="129"/>
      <c r="N43" s="129"/>
      <c r="O43" s="207"/>
      <c r="P43" s="106"/>
      <c r="Q43" s="106"/>
      <c r="R43" s="106"/>
      <c r="S43" s="106"/>
      <c r="T43" s="106"/>
      <c r="U43" s="106"/>
      <c r="V43" s="106"/>
      <c r="W43" s="207"/>
      <c r="X43" s="106"/>
      <c r="Y43" s="106"/>
      <c r="Z43" s="106"/>
      <c r="AA43" s="106"/>
      <c r="AB43" s="106"/>
      <c r="AC43" s="107"/>
      <c r="AD43" s="106"/>
      <c r="AE43" s="107"/>
      <c r="AF43" s="106"/>
      <c r="AG43" s="106"/>
      <c r="AH43" s="106"/>
      <c r="AI43" s="208"/>
      <c r="AJ43" s="208"/>
      <c r="AK43" s="209"/>
      <c r="AL43" s="210"/>
      <c r="AM43" s="40"/>
      <c r="AN43" s="108"/>
      <c r="AO43" s="108"/>
      <c r="AP43" s="108"/>
      <c r="AQ43" s="41"/>
      <c r="AR43" s="41"/>
      <c r="AS43" s="41"/>
      <c r="AT43" s="41"/>
      <c r="AU43" s="42"/>
      <c r="AV43" s="211"/>
      <c r="AW43" s="22"/>
      <c r="AX43" s="192"/>
      <c r="AY43" s="85"/>
      <c r="AZ43" s="86"/>
      <c r="BA43" s="86"/>
      <c r="BB43" s="87"/>
      <c r="BC43" s="48"/>
    </row>
    <row r="44" spans="1:55" ht="16.5" customHeight="1">
      <c r="A44" s="163"/>
      <c r="B44" s="157"/>
      <c r="C44" s="213" t="s">
        <v>103</v>
      </c>
      <c r="D44" s="216">
        <v>3.6</v>
      </c>
      <c r="E44" s="216">
        <f t="shared" si="42"/>
        <v>2.2680000000000002</v>
      </c>
      <c r="F44" s="217">
        <f t="shared" si="20"/>
        <v>0.63</v>
      </c>
      <c r="G44" s="216">
        <f t="shared" si="43"/>
        <v>5.867999999999999</v>
      </c>
      <c r="H44" s="216">
        <f t="shared" si="44"/>
        <v>6.190739999999999</v>
      </c>
      <c r="I44" s="218"/>
      <c r="J44" s="127">
        <v>6.2</v>
      </c>
      <c r="K44" s="129"/>
      <c r="L44" s="129"/>
      <c r="M44" s="129"/>
      <c r="N44" s="129"/>
      <c r="O44" s="207"/>
      <c r="P44" s="106"/>
      <c r="Q44" s="106"/>
      <c r="R44" s="106"/>
      <c r="S44" s="106"/>
      <c r="T44" s="106"/>
      <c r="U44" s="106"/>
      <c r="V44" s="106"/>
      <c r="W44" s="207"/>
      <c r="X44" s="106"/>
      <c r="Y44" s="106"/>
      <c r="Z44" s="106"/>
      <c r="AA44" s="106"/>
      <c r="AB44" s="106"/>
      <c r="AC44" s="107"/>
      <c r="AD44" s="106"/>
      <c r="AE44" s="107"/>
      <c r="AF44" s="106"/>
      <c r="AG44" s="106"/>
      <c r="AH44" s="106"/>
      <c r="AI44" s="208"/>
      <c r="AJ44" s="208"/>
      <c r="AK44" s="209"/>
      <c r="AL44" s="210"/>
      <c r="AM44" s="40"/>
      <c r="AN44" s="108"/>
      <c r="AO44" s="108"/>
      <c r="AP44" s="108"/>
      <c r="AQ44" s="41"/>
      <c r="AR44" s="41"/>
      <c r="AS44" s="41"/>
      <c r="AT44" s="41"/>
      <c r="AU44" s="42"/>
      <c r="AV44" s="211"/>
      <c r="AW44" s="22"/>
      <c r="AX44" s="192"/>
      <c r="AY44" s="85"/>
      <c r="AZ44" s="86"/>
      <c r="BA44" s="86"/>
      <c r="BB44" s="87"/>
      <c r="BC44" s="48"/>
    </row>
    <row r="45" spans="1:55" ht="16.5" customHeight="1">
      <c r="A45" s="163" t="s">
        <v>104</v>
      </c>
      <c r="B45" s="163"/>
      <c r="C45" s="213" t="s">
        <v>105</v>
      </c>
      <c r="D45" s="219">
        <v>5</v>
      </c>
      <c r="E45" s="219">
        <f>D45*0.25</f>
        <v>1.25</v>
      </c>
      <c r="F45" s="220">
        <f t="shared" si="20"/>
        <v>0.25</v>
      </c>
      <c r="G45" s="219">
        <f>D45*1.25</f>
        <v>6.25</v>
      </c>
      <c r="H45" s="219">
        <f aca="true" t="shared" si="45" ref="H45:H47">G45*1.2</f>
        <v>7.5</v>
      </c>
      <c r="I45" s="221"/>
      <c r="J45" s="222">
        <v>7.5</v>
      </c>
      <c r="K45" s="223"/>
      <c r="L45" s="223"/>
      <c r="M45" s="223"/>
      <c r="N45" s="223"/>
      <c r="O45" s="224"/>
      <c r="P45" s="225"/>
      <c r="Q45" s="225"/>
      <c r="R45" s="225"/>
      <c r="S45" s="226"/>
      <c r="T45" s="225"/>
      <c r="U45" s="226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7"/>
      <c r="AJ45" s="227"/>
      <c r="AK45" s="228"/>
      <c r="AL45" s="229"/>
      <c r="AM45" s="230"/>
      <c r="AN45" s="231"/>
      <c r="AO45" s="232"/>
      <c r="AP45" s="232"/>
      <c r="AQ45" s="233"/>
      <c r="AR45" s="233"/>
      <c r="AS45" s="233"/>
      <c r="AT45" s="233"/>
      <c r="AU45" s="42">
        <f>AJ45+AL45+AN45</f>
        <v>0</v>
      </c>
      <c r="AV45" s="234" t="e">
        <f>#REF!</f>
        <v>#REF!</v>
      </c>
      <c r="AW45" s="22"/>
      <c r="AX45" s="235" t="s">
        <v>105</v>
      </c>
      <c r="AY45" s="85">
        <v>10</v>
      </c>
      <c r="AZ45" s="86">
        <f>AG45+AE45+AC45+AA45+Y45+W45+U45+S45+Q45+O45+M45+K45</f>
        <v>0</v>
      </c>
      <c r="BA45" s="86">
        <f>AU45</f>
        <v>0</v>
      </c>
      <c r="BB45" s="87">
        <f>(AY45+AZ45)-BA45</f>
        <v>10</v>
      </c>
      <c r="BC45" s="48">
        <f>IF(BB45&gt;=6,"Ok","Commande")</f>
        <v>0</v>
      </c>
    </row>
    <row r="46" spans="1:55" ht="16.5" customHeight="1">
      <c r="A46" s="162" t="s">
        <v>106</v>
      </c>
      <c r="B46" s="236"/>
      <c r="C46" s="204" t="s">
        <v>107</v>
      </c>
      <c r="D46" s="237">
        <v>4.23</v>
      </c>
      <c r="E46" s="237">
        <f aca="true" t="shared" si="46" ref="E46:E47">D46*0.28</f>
        <v>1.1844000000000003</v>
      </c>
      <c r="F46" s="238">
        <f t="shared" si="20"/>
        <v>0.28</v>
      </c>
      <c r="G46" s="237">
        <f aca="true" t="shared" si="47" ref="G46:G47">D46*1.28</f>
        <v>5.4144000000000005</v>
      </c>
      <c r="H46" s="237">
        <f t="shared" si="45"/>
        <v>6.497280000000001</v>
      </c>
      <c r="I46" s="239">
        <v>0.055</v>
      </c>
      <c r="J46" s="222">
        <v>6.5</v>
      </c>
      <c r="K46" s="240"/>
      <c r="L46" s="240"/>
      <c r="M46" s="240"/>
      <c r="N46" s="240"/>
      <c r="O46" s="56"/>
      <c r="P46" s="53"/>
      <c r="Q46" s="53"/>
      <c r="R46" s="53"/>
      <c r="S46" s="55"/>
      <c r="T46" s="53"/>
      <c r="U46" s="55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241"/>
      <c r="AJ46" s="241"/>
      <c r="AK46" s="242"/>
      <c r="AL46" s="210"/>
      <c r="AM46" s="136"/>
      <c r="AN46" s="188"/>
      <c r="AO46" s="188"/>
      <c r="AP46" s="188"/>
      <c r="AQ46" s="189"/>
      <c r="AR46" s="189"/>
      <c r="AS46" s="189"/>
      <c r="AT46" s="189"/>
      <c r="AU46" s="63"/>
      <c r="AV46" s="243"/>
      <c r="AW46" s="22"/>
      <c r="AX46" s="192"/>
      <c r="AY46" s="85"/>
      <c r="AZ46" s="86"/>
      <c r="BA46" s="86"/>
      <c r="BB46" s="87"/>
      <c r="BC46" s="48"/>
    </row>
    <row r="47" spans="1:55" ht="16.5" customHeight="1">
      <c r="A47" s="162"/>
      <c r="B47" s="236"/>
      <c r="C47" s="204" t="s">
        <v>108</v>
      </c>
      <c r="D47" s="237">
        <v>4.23</v>
      </c>
      <c r="E47" s="237">
        <f t="shared" si="46"/>
        <v>1.1844000000000003</v>
      </c>
      <c r="F47" s="238">
        <f t="shared" si="20"/>
        <v>0.28</v>
      </c>
      <c r="G47" s="237">
        <f t="shared" si="47"/>
        <v>5.4144000000000005</v>
      </c>
      <c r="H47" s="237">
        <f t="shared" si="45"/>
        <v>6.497280000000001</v>
      </c>
      <c r="I47" s="239"/>
      <c r="J47" s="222">
        <v>6.5</v>
      </c>
      <c r="K47" s="240"/>
      <c r="L47" s="240"/>
      <c r="M47" s="240"/>
      <c r="N47" s="240"/>
      <c r="O47" s="56"/>
      <c r="P47" s="53"/>
      <c r="Q47" s="53"/>
      <c r="R47" s="53"/>
      <c r="S47" s="55"/>
      <c r="T47" s="53"/>
      <c r="U47" s="55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241"/>
      <c r="AJ47" s="241"/>
      <c r="AK47" s="242"/>
      <c r="AL47" s="210"/>
      <c r="AM47" s="136"/>
      <c r="AN47" s="188"/>
      <c r="AO47" s="188"/>
      <c r="AP47" s="188"/>
      <c r="AQ47" s="189"/>
      <c r="AR47" s="189"/>
      <c r="AS47" s="189"/>
      <c r="AT47" s="189"/>
      <c r="AU47" s="63"/>
      <c r="AV47" s="243"/>
      <c r="AW47" s="22"/>
      <c r="AX47" s="192"/>
      <c r="AY47" s="85"/>
      <c r="AZ47" s="86"/>
      <c r="BA47" s="86"/>
      <c r="BB47" s="87"/>
      <c r="BC47" s="48"/>
    </row>
    <row r="48" spans="1:55" ht="16.5" customHeight="1">
      <c r="A48" s="236" t="s">
        <v>109</v>
      </c>
      <c r="B48" s="236"/>
      <c r="C48" s="171" t="s">
        <v>110</v>
      </c>
      <c r="D48" s="119">
        <v>2.94</v>
      </c>
      <c r="E48" s="119">
        <f>D48*0.23</f>
        <v>0.6762</v>
      </c>
      <c r="F48" s="120">
        <f t="shared" si="20"/>
        <v>0.23</v>
      </c>
      <c r="G48" s="119">
        <f>D48*1.23</f>
        <v>3.6162</v>
      </c>
      <c r="H48" s="119">
        <f aca="true" t="shared" si="48" ref="H48:H54">G48*1.055</f>
        <v>3.815091</v>
      </c>
      <c r="I48" s="239"/>
      <c r="J48" s="222">
        <v>3.8</v>
      </c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1"/>
      <c r="AJ48" s="241"/>
      <c r="AK48" s="242"/>
      <c r="AL48" s="210"/>
      <c r="AM48" s="136"/>
      <c r="AN48" s="188"/>
      <c r="AO48" s="188"/>
      <c r="AP48" s="188"/>
      <c r="AQ48" s="189"/>
      <c r="AR48" s="189"/>
      <c r="AS48" s="189"/>
      <c r="AT48" s="189"/>
      <c r="AU48" s="63"/>
      <c r="AV48" s="243"/>
      <c r="AW48" s="22"/>
      <c r="AX48" s="192"/>
      <c r="AY48" s="85"/>
      <c r="AZ48" s="86"/>
      <c r="BA48" s="86"/>
      <c r="BB48" s="87"/>
      <c r="BC48" s="48"/>
    </row>
    <row r="49" spans="1:55" ht="15.75" customHeight="1">
      <c r="A49" s="162" t="s">
        <v>111</v>
      </c>
      <c r="B49" s="245"/>
      <c r="C49" s="246" t="s">
        <v>112</v>
      </c>
      <c r="D49" s="50">
        <v>4.95</v>
      </c>
      <c r="E49" s="50">
        <f>D49*0.34</f>
        <v>1.6830000000000003</v>
      </c>
      <c r="F49" s="125">
        <f t="shared" si="20"/>
        <v>0.34</v>
      </c>
      <c r="G49" s="50">
        <f aca="true" t="shared" si="49" ref="G49:G54">D49*1.34</f>
        <v>6.633000000000001</v>
      </c>
      <c r="H49" s="50">
        <f t="shared" si="48"/>
        <v>6.997815</v>
      </c>
      <c r="I49" s="218">
        <v>0.055</v>
      </c>
      <c r="J49" s="247">
        <v>7</v>
      </c>
      <c r="K49" s="248"/>
      <c r="L49" s="248"/>
      <c r="M49" s="248"/>
      <c r="N49" s="248"/>
      <c r="O49" s="31"/>
      <c r="P49" s="33"/>
      <c r="Q49" s="34"/>
      <c r="R49" s="33"/>
      <c r="S49" s="34"/>
      <c r="T49" s="33"/>
      <c r="U49" s="34"/>
      <c r="V49" s="34"/>
      <c r="W49" s="34"/>
      <c r="X49" s="34"/>
      <c r="Y49" s="33"/>
      <c r="Z49" s="33"/>
      <c r="AA49" s="33"/>
      <c r="AB49" s="34"/>
      <c r="AC49" s="33"/>
      <c r="AD49" s="33"/>
      <c r="AE49" s="33"/>
      <c r="AF49" s="33"/>
      <c r="AG49" s="33"/>
      <c r="AH49" s="33"/>
      <c r="AI49" s="249"/>
      <c r="AJ49" s="36"/>
      <c r="AK49" s="250"/>
      <c r="AL49" s="251"/>
      <c r="AM49" s="39"/>
      <c r="AN49" s="252"/>
      <c r="AO49" s="252"/>
      <c r="AP49" s="252"/>
      <c r="AQ49" s="253"/>
      <c r="AR49" s="253"/>
      <c r="AS49" s="253"/>
      <c r="AT49" s="253"/>
      <c r="AU49" s="254">
        <f aca="true" t="shared" si="50" ref="AU49:AU51">AJ49+AL49+AN49</f>
        <v>0</v>
      </c>
      <c r="AV49" s="43"/>
      <c r="AW49" s="22"/>
      <c r="AX49" s="255"/>
      <c r="AY49" s="256"/>
      <c r="AZ49" s="257"/>
      <c r="BA49" s="257"/>
      <c r="BB49" s="257"/>
      <c r="BC49" s="48"/>
    </row>
    <row r="50" spans="1:55" ht="15" customHeight="1">
      <c r="A50" s="162"/>
      <c r="B50" s="258"/>
      <c r="C50" s="259" t="s">
        <v>113</v>
      </c>
      <c r="D50" s="69">
        <v>4.95</v>
      </c>
      <c r="E50" s="69">
        <f aca="true" t="shared" si="51" ref="E50:E61">D50*0.25</f>
        <v>1.2375</v>
      </c>
      <c r="F50" s="70">
        <f t="shared" si="20"/>
        <v>0.25</v>
      </c>
      <c r="G50" s="69">
        <f t="shared" si="49"/>
        <v>6.633000000000001</v>
      </c>
      <c r="H50" s="69">
        <f t="shared" si="48"/>
        <v>6.997815</v>
      </c>
      <c r="I50" s="218"/>
      <c r="J50" s="260">
        <v>7</v>
      </c>
      <c r="K50" s="244"/>
      <c r="L50" s="244"/>
      <c r="M50" s="244"/>
      <c r="N50" s="244"/>
      <c r="O50" s="35"/>
      <c r="P50" s="111"/>
      <c r="Q50" s="76"/>
      <c r="R50" s="111"/>
      <c r="S50" s="76"/>
      <c r="T50" s="111"/>
      <c r="U50" s="76"/>
      <c r="V50" s="76"/>
      <c r="W50" s="76"/>
      <c r="X50" s="76"/>
      <c r="Y50" s="111"/>
      <c r="Z50" s="111"/>
      <c r="AA50" s="111"/>
      <c r="AB50" s="76"/>
      <c r="AC50" s="111"/>
      <c r="AD50" s="111"/>
      <c r="AE50" s="111"/>
      <c r="AF50" s="111"/>
      <c r="AG50" s="111"/>
      <c r="AH50" s="111"/>
      <c r="AI50" s="261"/>
      <c r="AJ50" s="77"/>
      <c r="AK50" s="176"/>
      <c r="AL50" s="177"/>
      <c r="AM50" s="80"/>
      <c r="AN50" s="262"/>
      <c r="AO50" s="262"/>
      <c r="AP50" s="262"/>
      <c r="AQ50" s="82"/>
      <c r="AR50" s="82"/>
      <c r="AS50" s="82"/>
      <c r="AT50" s="82"/>
      <c r="AU50" s="83">
        <f t="shared" si="50"/>
        <v>0</v>
      </c>
      <c r="AV50" s="112"/>
      <c r="AW50" s="22"/>
      <c r="AX50" s="255"/>
      <c r="AY50" s="256"/>
      <c r="AZ50" s="257"/>
      <c r="BA50" s="257"/>
      <c r="BB50" s="257"/>
      <c r="BC50" s="48"/>
    </row>
    <row r="51" spans="1:55" ht="15" customHeight="1">
      <c r="A51" s="162"/>
      <c r="B51" s="258"/>
      <c r="C51" s="263" t="s">
        <v>114</v>
      </c>
      <c r="D51" s="69">
        <v>4.95</v>
      </c>
      <c r="E51" s="69">
        <f t="shared" si="51"/>
        <v>1.2375</v>
      </c>
      <c r="F51" s="70">
        <f t="shared" si="20"/>
        <v>0.25</v>
      </c>
      <c r="G51" s="69">
        <f t="shared" si="49"/>
        <v>6.633000000000001</v>
      </c>
      <c r="H51" s="69">
        <f t="shared" si="48"/>
        <v>6.997815</v>
      </c>
      <c r="I51" s="218"/>
      <c r="J51" s="260">
        <v>7</v>
      </c>
      <c r="K51" s="244"/>
      <c r="L51" s="244"/>
      <c r="M51" s="244"/>
      <c r="N51" s="244"/>
      <c r="O51" s="35"/>
      <c r="P51" s="111"/>
      <c r="Q51" s="76"/>
      <c r="R51" s="111"/>
      <c r="S51" s="76"/>
      <c r="T51" s="111"/>
      <c r="U51" s="76"/>
      <c r="V51" s="76"/>
      <c r="W51" s="76"/>
      <c r="X51" s="76"/>
      <c r="Y51" s="111"/>
      <c r="Z51" s="111"/>
      <c r="AA51" s="111"/>
      <c r="AB51" s="76"/>
      <c r="AC51" s="111"/>
      <c r="AD51" s="111"/>
      <c r="AE51" s="111"/>
      <c r="AF51" s="111"/>
      <c r="AG51" s="111"/>
      <c r="AH51" s="111"/>
      <c r="AI51" s="261"/>
      <c r="AJ51" s="77"/>
      <c r="AK51" s="176"/>
      <c r="AL51" s="177"/>
      <c r="AM51" s="80"/>
      <c r="AN51" s="262"/>
      <c r="AO51" s="262"/>
      <c r="AP51" s="262"/>
      <c r="AQ51" s="82"/>
      <c r="AR51" s="82"/>
      <c r="AS51" s="82"/>
      <c r="AT51" s="82"/>
      <c r="AU51" s="83">
        <f t="shared" si="50"/>
        <v>0</v>
      </c>
      <c r="AV51" s="112"/>
      <c r="AW51" s="22"/>
      <c r="AX51" s="255"/>
      <c r="AY51" s="256"/>
      <c r="AZ51" s="257"/>
      <c r="BA51" s="257"/>
      <c r="BB51" s="257"/>
      <c r="BC51" s="48"/>
    </row>
    <row r="52" spans="1:55" ht="15" customHeight="1">
      <c r="A52" s="162"/>
      <c r="B52" s="264"/>
      <c r="C52" s="263" t="s">
        <v>115</v>
      </c>
      <c r="D52" s="142">
        <v>4.95</v>
      </c>
      <c r="E52" s="69">
        <f t="shared" si="51"/>
        <v>1.2375</v>
      </c>
      <c r="F52" s="70">
        <f t="shared" si="20"/>
        <v>0.25</v>
      </c>
      <c r="G52" s="69">
        <f t="shared" si="49"/>
        <v>6.633000000000001</v>
      </c>
      <c r="H52" s="69">
        <f t="shared" si="48"/>
        <v>6.997815</v>
      </c>
      <c r="I52" s="218"/>
      <c r="J52" s="260">
        <v>7</v>
      </c>
      <c r="K52" s="244"/>
      <c r="L52" s="244"/>
      <c r="M52" s="244"/>
      <c r="N52" s="244"/>
      <c r="O52" s="35"/>
      <c r="P52" s="111"/>
      <c r="Q52" s="76"/>
      <c r="R52" s="111"/>
      <c r="S52" s="76"/>
      <c r="T52" s="111"/>
      <c r="U52" s="76"/>
      <c r="V52" s="76"/>
      <c r="W52" s="76"/>
      <c r="X52" s="76"/>
      <c r="Y52" s="111"/>
      <c r="Z52" s="111"/>
      <c r="AA52" s="111"/>
      <c r="AB52" s="76"/>
      <c r="AC52" s="111"/>
      <c r="AD52" s="111"/>
      <c r="AE52" s="111"/>
      <c r="AF52" s="111"/>
      <c r="AG52" s="111"/>
      <c r="AH52" s="111"/>
      <c r="AI52" s="261"/>
      <c r="AJ52" s="77"/>
      <c r="AK52" s="176"/>
      <c r="AL52" s="177"/>
      <c r="AM52" s="80"/>
      <c r="AN52" s="262"/>
      <c r="AO52" s="262"/>
      <c r="AP52" s="262"/>
      <c r="AQ52" s="82"/>
      <c r="AR52" s="82"/>
      <c r="AS52" s="62"/>
      <c r="AT52" s="62"/>
      <c r="AU52" s="63"/>
      <c r="AV52" s="112"/>
      <c r="AW52" s="22"/>
      <c r="AX52" s="255"/>
      <c r="AY52" s="256"/>
      <c r="AZ52" s="257"/>
      <c r="BA52" s="257"/>
      <c r="BB52" s="257"/>
      <c r="BC52" s="48"/>
    </row>
    <row r="53" spans="1:55" ht="15" customHeight="1">
      <c r="A53" s="162"/>
      <c r="B53" s="264"/>
      <c r="C53" s="263" t="s">
        <v>116</v>
      </c>
      <c r="D53" s="142">
        <v>4.95</v>
      </c>
      <c r="E53" s="69">
        <f t="shared" si="51"/>
        <v>1.2375</v>
      </c>
      <c r="F53" s="70">
        <f t="shared" si="20"/>
        <v>0.25</v>
      </c>
      <c r="G53" s="69">
        <f t="shared" si="49"/>
        <v>6.633000000000001</v>
      </c>
      <c r="H53" s="69">
        <f t="shared" si="48"/>
        <v>6.997815</v>
      </c>
      <c r="I53" s="218"/>
      <c r="J53" s="260">
        <v>7</v>
      </c>
      <c r="K53" s="244"/>
      <c r="L53" s="244"/>
      <c r="M53" s="244"/>
      <c r="N53" s="244"/>
      <c r="O53" s="35"/>
      <c r="P53" s="111"/>
      <c r="Q53" s="76"/>
      <c r="R53" s="111"/>
      <c r="S53" s="76"/>
      <c r="T53" s="111"/>
      <c r="U53" s="76"/>
      <c r="V53" s="76"/>
      <c r="W53" s="76"/>
      <c r="X53" s="76"/>
      <c r="Y53" s="111"/>
      <c r="Z53" s="111"/>
      <c r="AA53" s="111"/>
      <c r="AB53" s="76"/>
      <c r="AC53" s="111"/>
      <c r="AD53" s="111"/>
      <c r="AE53" s="111"/>
      <c r="AF53" s="111"/>
      <c r="AG53" s="111"/>
      <c r="AH53" s="111"/>
      <c r="AI53" s="261"/>
      <c r="AJ53" s="77"/>
      <c r="AK53" s="176"/>
      <c r="AL53" s="177"/>
      <c r="AM53" s="80"/>
      <c r="AN53" s="262"/>
      <c r="AO53" s="262"/>
      <c r="AP53" s="262"/>
      <c r="AQ53" s="82"/>
      <c r="AR53" s="82"/>
      <c r="AS53" s="62"/>
      <c r="AT53" s="62"/>
      <c r="AU53" s="63"/>
      <c r="AV53" s="112"/>
      <c r="AW53" s="22"/>
      <c r="AX53" s="255"/>
      <c r="AY53" s="256"/>
      <c r="AZ53" s="257"/>
      <c r="BA53" s="257"/>
      <c r="BB53" s="257"/>
      <c r="BC53" s="48"/>
    </row>
    <row r="54" spans="1:55" ht="15" customHeight="1">
      <c r="A54" s="162"/>
      <c r="B54" s="264"/>
      <c r="C54" s="263" t="s">
        <v>117</v>
      </c>
      <c r="D54" s="142">
        <v>4.95</v>
      </c>
      <c r="E54" s="69">
        <f t="shared" si="51"/>
        <v>1.2375</v>
      </c>
      <c r="F54" s="70">
        <f t="shared" si="20"/>
        <v>0.25</v>
      </c>
      <c r="G54" s="69">
        <f t="shared" si="49"/>
        <v>6.633000000000001</v>
      </c>
      <c r="H54" s="69">
        <f t="shared" si="48"/>
        <v>6.997815</v>
      </c>
      <c r="I54" s="218"/>
      <c r="J54" s="260">
        <v>7</v>
      </c>
      <c r="K54" s="244"/>
      <c r="L54" s="244"/>
      <c r="M54" s="244"/>
      <c r="N54" s="244"/>
      <c r="O54" s="35"/>
      <c r="P54" s="111"/>
      <c r="Q54" s="76"/>
      <c r="R54" s="111"/>
      <c r="S54" s="76"/>
      <c r="T54" s="111"/>
      <c r="U54" s="76"/>
      <c r="V54" s="76"/>
      <c r="W54" s="76"/>
      <c r="X54" s="76"/>
      <c r="Y54" s="111"/>
      <c r="Z54" s="111"/>
      <c r="AA54" s="111"/>
      <c r="AB54" s="76"/>
      <c r="AC54" s="111"/>
      <c r="AD54" s="111"/>
      <c r="AE54" s="111"/>
      <c r="AF54" s="111"/>
      <c r="AG54" s="111"/>
      <c r="AH54" s="111"/>
      <c r="AI54" s="261"/>
      <c r="AJ54" s="77"/>
      <c r="AK54" s="176"/>
      <c r="AL54" s="177"/>
      <c r="AM54" s="80"/>
      <c r="AN54" s="262"/>
      <c r="AO54" s="262"/>
      <c r="AP54" s="262"/>
      <c r="AQ54" s="82"/>
      <c r="AR54" s="82"/>
      <c r="AS54" s="62"/>
      <c r="AT54" s="62"/>
      <c r="AU54" s="63"/>
      <c r="AV54" s="112"/>
      <c r="AW54" s="22"/>
      <c r="AX54" s="255"/>
      <c r="AY54" s="256"/>
      <c r="AZ54" s="257"/>
      <c r="BA54" s="257"/>
      <c r="BB54" s="257"/>
      <c r="BC54" s="48"/>
    </row>
    <row r="55" spans="1:55" ht="15" customHeight="1">
      <c r="A55" s="162"/>
      <c r="B55" s="264"/>
      <c r="C55" s="263" t="s">
        <v>118</v>
      </c>
      <c r="D55" s="89">
        <v>10</v>
      </c>
      <c r="E55" s="89">
        <f t="shared" si="51"/>
        <v>2.5</v>
      </c>
      <c r="F55" s="90">
        <f t="shared" si="20"/>
        <v>0.25</v>
      </c>
      <c r="G55" s="89">
        <f aca="true" t="shared" si="52" ref="G55:G61">D55*1.25</f>
        <v>12.5</v>
      </c>
      <c r="H55" s="89">
        <f>G55*1.2</f>
        <v>15</v>
      </c>
      <c r="I55" s="265">
        <v>0.2</v>
      </c>
      <c r="J55" s="266">
        <v>15</v>
      </c>
      <c r="K55" s="244"/>
      <c r="L55" s="244"/>
      <c r="M55" s="244"/>
      <c r="N55" s="244"/>
      <c r="O55" s="35"/>
      <c r="P55" s="111"/>
      <c r="Q55" s="76"/>
      <c r="R55" s="111"/>
      <c r="S55" s="76"/>
      <c r="T55" s="111"/>
      <c r="U55" s="76"/>
      <c r="V55" s="76"/>
      <c r="W55" s="76"/>
      <c r="X55" s="76"/>
      <c r="Y55" s="111"/>
      <c r="Z55" s="111"/>
      <c r="AA55" s="111"/>
      <c r="AB55" s="76"/>
      <c r="AC55" s="111"/>
      <c r="AD55" s="111"/>
      <c r="AE55" s="111"/>
      <c r="AF55" s="111"/>
      <c r="AG55" s="111"/>
      <c r="AH55" s="111"/>
      <c r="AI55" s="261"/>
      <c r="AJ55" s="77"/>
      <c r="AK55" s="176"/>
      <c r="AL55" s="177"/>
      <c r="AM55" s="80"/>
      <c r="AN55" s="262"/>
      <c r="AO55" s="262"/>
      <c r="AP55" s="262"/>
      <c r="AQ55" s="82"/>
      <c r="AR55" s="82"/>
      <c r="AS55" s="62"/>
      <c r="AT55" s="62"/>
      <c r="AU55" s="63">
        <f>AJ55+AL55+AN55</f>
        <v>0</v>
      </c>
      <c r="AV55" s="112"/>
      <c r="AW55" s="22"/>
      <c r="AX55" s="255"/>
      <c r="AY55" s="256"/>
      <c r="AZ55" s="257"/>
      <c r="BA55" s="257"/>
      <c r="BB55" s="257"/>
      <c r="BC55" s="48"/>
    </row>
    <row r="56" spans="1:55" ht="15.75" customHeight="1">
      <c r="A56" s="116" t="s">
        <v>119</v>
      </c>
      <c r="B56" s="267"/>
      <c r="C56" s="268" t="s">
        <v>120</v>
      </c>
      <c r="D56" s="25">
        <v>3.03</v>
      </c>
      <c r="E56" s="25">
        <f t="shared" si="51"/>
        <v>0.7575</v>
      </c>
      <c r="F56" s="269">
        <f t="shared" si="20"/>
        <v>0.25</v>
      </c>
      <c r="G56" s="25">
        <f t="shared" si="52"/>
        <v>3.7874999999999996</v>
      </c>
      <c r="H56" s="25">
        <f aca="true" t="shared" si="53" ref="H56:H61">G56*1.055</f>
        <v>3.9958124999999995</v>
      </c>
      <c r="I56" s="270">
        <v>0.055</v>
      </c>
      <c r="J56" s="271">
        <v>4</v>
      </c>
      <c r="K56" s="272"/>
      <c r="L56" s="272"/>
      <c r="M56" s="272"/>
      <c r="N56" s="272"/>
      <c r="O56" s="30"/>
      <c r="P56" s="52"/>
      <c r="Q56" s="54"/>
      <c r="R56" s="52"/>
      <c r="S56" s="54"/>
      <c r="T56" s="52"/>
      <c r="U56" s="54"/>
      <c r="V56" s="54"/>
      <c r="W56" s="54"/>
      <c r="X56" s="54"/>
      <c r="Y56" s="52"/>
      <c r="Z56" s="52"/>
      <c r="AA56" s="52"/>
      <c r="AB56" s="54"/>
      <c r="AC56" s="52"/>
      <c r="AD56" s="52"/>
      <c r="AE56" s="52"/>
      <c r="AF56" s="52"/>
      <c r="AG56" s="52"/>
      <c r="AH56" s="52"/>
      <c r="AI56" s="273"/>
      <c r="AJ56" s="57"/>
      <c r="AK56" s="274"/>
      <c r="AL56" s="169"/>
      <c r="AM56" s="60"/>
      <c r="AN56" s="275"/>
      <c r="AO56" s="275"/>
      <c r="AP56" s="275"/>
      <c r="AQ56" s="100"/>
      <c r="AR56" s="100"/>
      <c r="AS56" s="62"/>
      <c r="AT56" s="62"/>
      <c r="AU56" s="63"/>
      <c r="AV56" s="276"/>
      <c r="AW56" s="22"/>
      <c r="AX56" s="255"/>
      <c r="AY56" s="256"/>
      <c r="AZ56" s="257"/>
      <c r="BA56" s="257"/>
      <c r="BB56" s="257"/>
      <c r="BC56" s="48"/>
    </row>
    <row r="57" spans="1:55" ht="15" customHeight="1">
      <c r="A57" s="116"/>
      <c r="B57" s="277"/>
      <c r="C57" s="278" t="s">
        <v>121</v>
      </c>
      <c r="D57" s="69">
        <v>3.12</v>
      </c>
      <c r="E57" s="69">
        <f t="shared" si="51"/>
        <v>0.78</v>
      </c>
      <c r="F57" s="70">
        <f t="shared" si="20"/>
        <v>0.25</v>
      </c>
      <c r="G57" s="69">
        <f t="shared" si="52"/>
        <v>3.9000000000000004</v>
      </c>
      <c r="H57" s="69">
        <f t="shared" si="53"/>
        <v>4.1145000000000005</v>
      </c>
      <c r="I57" s="270"/>
      <c r="J57" s="279">
        <v>4.15</v>
      </c>
      <c r="K57" s="272"/>
      <c r="L57" s="272"/>
      <c r="M57" s="272"/>
      <c r="N57" s="272"/>
      <c r="O57" s="30"/>
      <c r="P57" s="52"/>
      <c r="Q57" s="54"/>
      <c r="R57" s="52"/>
      <c r="S57" s="54"/>
      <c r="T57" s="52"/>
      <c r="U57" s="54"/>
      <c r="V57" s="54"/>
      <c r="W57" s="54"/>
      <c r="X57" s="54"/>
      <c r="Y57" s="52"/>
      <c r="Z57" s="52"/>
      <c r="AA57" s="52"/>
      <c r="AB57" s="54"/>
      <c r="AC57" s="52"/>
      <c r="AD57" s="52"/>
      <c r="AE57" s="52"/>
      <c r="AF57" s="52"/>
      <c r="AG57" s="52"/>
      <c r="AH57" s="52"/>
      <c r="AI57" s="273"/>
      <c r="AJ57" s="57"/>
      <c r="AK57" s="274"/>
      <c r="AL57" s="169"/>
      <c r="AM57" s="60"/>
      <c r="AN57" s="275"/>
      <c r="AO57" s="275"/>
      <c r="AP57" s="275"/>
      <c r="AQ57" s="100"/>
      <c r="AR57" s="100"/>
      <c r="AS57" s="62"/>
      <c r="AT57" s="62"/>
      <c r="AU57" s="63"/>
      <c r="AV57" s="276"/>
      <c r="AW57" s="22"/>
      <c r="AX57" s="255"/>
      <c r="AY57" s="256"/>
      <c r="AZ57" s="257"/>
      <c r="BA57" s="257"/>
      <c r="BB57" s="257"/>
      <c r="BC57" s="48"/>
    </row>
    <row r="58" spans="1:55" ht="15" customHeight="1">
      <c r="A58" s="116"/>
      <c r="B58" s="277"/>
      <c r="C58" s="278" t="s">
        <v>122</v>
      </c>
      <c r="D58" s="69">
        <v>3.45</v>
      </c>
      <c r="E58" s="69">
        <f t="shared" si="51"/>
        <v>0.8625</v>
      </c>
      <c r="F58" s="70">
        <f t="shared" si="20"/>
        <v>0.25</v>
      </c>
      <c r="G58" s="69">
        <f t="shared" si="52"/>
        <v>4.3125</v>
      </c>
      <c r="H58" s="69">
        <f t="shared" si="53"/>
        <v>4.5496875</v>
      </c>
      <c r="I58" s="270"/>
      <c r="J58" s="279">
        <v>4.55</v>
      </c>
      <c r="K58" s="272"/>
      <c r="L58" s="272"/>
      <c r="M58" s="272"/>
      <c r="N58" s="272"/>
      <c r="O58" s="30"/>
      <c r="P58" s="52"/>
      <c r="Q58" s="54"/>
      <c r="R58" s="52"/>
      <c r="S58" s="54"/>
      <c r="T58" s="52"/>
      <c r="U58" s="54"/>
      <c r="V58" s="54"/>
      <c r="W58" s="54"/>
      <c r="X58" s="54"/>
      <c r="Y58" s="52"/>
      <c r="Z58" s="52"/>
      <c r="AA58" s="52"/>
      <c r="AB58" s="54"/>
      <c r="AC58" s="52"/>
      <c r="AD58" s="52"/>
      <c r="AE58" s="52"/>
      <c r="AF58" s="52"/>
      <c r="AG58" s="52"/>
      <c r="AH58" s="52"/>
      <c r="AI58" s="273"/>
      <c r="AJ58" s="57"/>
      <c r="AK58" s="274"/>
      <c r="AL58" s="169"/>
      <c r="AM58" s="60"/>
      <c r="AN58" s="275"/>
      <c r="AO58" s="275"/>
      <c r="AP58" s="275"/>
      <c r="AQ58" s="100"/>
      <c r="AR58" s="100"/>
      <c r="AS58" s="62"/>
      <c r="AT58" s="62"/>
      <c r="AU58" s="63"/>
      <c r="AV58" s="276"/>
      <c r="AW58" s="22"/>
      <c r="AX58" s="255"/>
      <c r="AY58" s="256"/>
      <c r="AZ58" s="257"/>
      <c r="BA58" s="257"/>
      <c r="BB58" s="257"/>
      <c r="BC58" s="48"/>
    </row>
    <row r="59" spans="1:55" ht="15" customHeight="1">
      <c r="A59" s="116"/>
      <c r="B59" s="277"/>
      <c r="C59" s="278" t="s">
        <v>123</v>
      </c>
      <c r="D59" s="69">
        <v>2.75</v>
      </c>
      <c r="E59" s="69">
        <f t="shared" si="51"/>
        <v>0.6875</v>
      </c>
      <c r="F59" s="70">
        <f t="shared" si="20"/>
        <v>0.25</v>
      </c>
      <c r="G59" s="69">
        <f t="shared" si="52"/>
        <v>3.4375</v>
      </c>
      <c r="H59" s="69">
        <f t="shared" si="53"/>
        <v>3.6265625</v>
      </c>
      <c r="I59" s="270"/>
      <c r="J59" s="279">
        <v>3.65</v>
      </c>
      <c r="K59" s="272"/>
      <c r="L59" s="272"/>
      <c r="M59" s="272"/>
      <c r="N59" s="272"/>
      <c r="O59" s="30"/>
      <c r="P59" s="52"/>
      <c r="Q59" s="54"/>
      <c r="R59" s="52"/>
      <c r="S59" s="54"/>
      <c r="T59" s="52"/>
      <c r="U59" s="54"/>
      <c r="V59" s="54"/>
      <c r="W59" s="54"/>
      <c r="X59" s="54"/>
      <c r="Y59" s="52"/>
      <c r="Z59" s="52"/>
      <c r="AA59" s="52"/>
      <c r="AB59" s="54"/>
      <c r="AC59" s="52"/>
      <c r="AD59" s="52"/>
      <c r="AE59" s="52"/>
      <c r="AF59" s="52"/>
      <c r="AG59" s="52"/>
      <c r="AH59" s="52"/>
      <c r="AI59" s="273"/>
      <c r="AJ59" s="57"/>
      <c r="AK59" s="274"/>
      <c r="AL59" s="169"/>
      <c r="AM59" s="60"/>
      <c r="AN59" s="275"/>
      <c r="AO59" s="275"/>
      <c r="AP59" s="275"/>
      <c r="AQ59" s="100"/>
      <c r="AR59" s="100"/>
      <c r="AS59" s="62"/>
      <c r="AT59" s="62"/>
      <c r="AU59" s="63"/>
      <c r="AV59" s="276"/>
      <c r="AW59" s="22"/>
      <c r="AX59" s="255"/>
      <c r="AY59" s="256"/>
      <c r="AZ59" s="257"/>
      <c r="BA59" s="257"/>
      <c r="BB59" s="257"/>
      <c r="BC59" s="48"/>
    </row>
    <row r="60" spans="1:55" ht="15.75" customHeight="1">
      <c r="A60" s="116"/>
      <c r="B60" s="277"/>
      <c r="C60" s="259" t="s">
        <v>124</v>
      </c>
      <c r="D60" s="69">
        <v>3.12</v>
      </c>
      <c r="E60" s="69">
        <f t="shared" si="51"/>
        <v>0.78</v>
      </c>
      <c r="F60" s="70">
        <f t="shared" si="20"/>
        <v>0.25</v>
      </c>
      <c r="G60" s="69">
        <f t="shared" si="52"/>
        <v>3.9000000000000004</v>
      </c>
      <c r="H60" s="69">
        <f t="shared" si="53"/>
        <v>4.1145000000000005</v>
      </c>
      <c r="I60" s="270"/>
      <c r="J60" s="279">
        <v>4.15</v>
      </c>
      <c r="K60" s="272"/>
      <c r="L60" s="272"/>
      <c r="M60" s="272"/>
      <c r="N60" s="272"/>
      <c r="O60" s="30"/>
      <c r="P60" s="52"/>
      <c r="Q60" s="54"/>
      <c r="R60" s="52"/>
      <c r="S60" s="54"/>
      <c r="T60" s="52"/>
      <c r="U60" s="54"/>
      <c r="V60" s="54"/>
      <c r="W60" s="54"/>
      <c r="X60" s="54"/>
      <c r="Y60" s="52"/>
      <c r="Z60" s="52"/>
      <c r="AA60" s="52"/>
      <c r="AB60" s="54"/>
      <c r="AC60" s="52"/>
      <c r="AD60" s="52"/>
      <c r="AE60" s="52"/>
      <c r="AF60" s="52"/>
      <c r="AG60" s="52"/>
      <c r="AH60" s="52"/>
      <c r="AI60" s="273"/>
      <c r="AJ60" s="57"/>
      <c r="AK60" s="274"/>
      <c r="AL60" s="169"/>
      <c r="AM60" s="60"/>
      <c r="AN60" s="275"/>
      <c r="AO60" s="275"/>
      <c r="AP60" s="275"/>
      <c r="AQ60" s="100"/>
      <c r="AR60" s="100"/>
      <c r="AS60" s="62"/>
      <c r="AT60" s="62"/>
      <c r="AU60" s="63"/>
      <c r="AV60" s="276"/>
      <c r="AW60" s="22"/>
      <c r="AX60" s="255"/>
      <c r="AY60" s="256"/>
      <c r="AZ60" s="257"/>
      <c r="BA60" s="257"/>
      <c r="BB60" s="257"/>
      <c r="BC60" s="48"/>
    </row>
    <row r="61" spans="1:55" ht="15" customHeight="1">
      <c r="A61" s="116"/>
      <c r="B61" s="280"/>
      <c r="C61" s="281" t="s">
        <v>125</v>
      </c>
      <c r="D61" s="89">
        <v>3.12</v>
      </c>
      <c r="E61" s="89">
        <f t="shared" si="51"/>
        <v>0.78</v>
      </c>
      <c r="F61" s="90">
        <f t="shared" si="20"/>
        <v>0.25</v>
      </c>
      <c r="G61" s="89">
        <f t="shared" si="52"/>
        <v>3.9000000000000004</v>
      </c>
      <c r="H61" s="89">
        <f t="shared" si="53"/>
        <v>4.1145000000000005</v>
      </c>
      <c r="I61" s="270"/>
      <c r="J61" s="282">
        <v>4.15</v>
      </c>
      <c r="K61" s="272"/>
      <c r="L61" s="272"/>
      <c r="M61" s="272"/>
      <c r="N61" s="272"/>
      <c r="O61" s="30"/>
      <c r="P61" s="52"/>
      <c r="Q61" s="54"/>
      <c r="R61" s="52"/>
      <c r="S61" s="54"/>
      <c r="T61" s="52"/>
      <c r="U61" s="54"/>
      <c r="V61" s="54"/>
      <c r="W61" s="54"/>
      <c r="X61" s="54"/>
      <c r="Y61" s="52"/>
      <c r="Z61" s="52"/>
      <c r="AA61" s="52"/>
      <c r="AB61" s="54"/>
      <c r="AC61" s="52"/>
      <c r="AD61" s="52"/>
      <c r="AE61" s="52"/>
      <c r="AF61" s="52"/>
      <c r="AG61" s="52"/>
      <c r="AH61" s="52"/>
      <c r="AI61" s="273"/>
      <c r="AJ61" s="57"/>
      <c r="AK61" s="274"/>
      <c r="AL61" s="169"/>
      <c r="AM61" s="60"/>
      <c r="AN61" s="275"/>
      <c r="AO61" s="275"/>
      <c r="AP61" s="275"/>
      <c r="AQ61" s="100"/>
      <c r="AR61" s="100"/>
      <c r="AS61" s="62"/>
      <c r="AT61" s="62"/>
      <c r="AU61" s="63"/>
      <c r="AV61" s="276"/>
      <c r="AW61" s="22"/>
      <c r="AX61" s="255"/>
      <c r="AY61" s="256"/>
      <c r="AZ61" s="257"/>
      <c r="BA61" s="257"/>
      <c r="BB61" s="257"/>
      <c r="BC61" s="48"/>
    </row>
    <row r="62" spans="1:55" ht="16.5" customHeight="1">
      <c r="A62" s="283" t="s">
        <v>126</v>
      </c>
      <c r="B62" s="283"/>
      <c r="C62" s="164" t="s">
        <v>127</v>
      </c>
      <c r="D62" s="165">
        <v>1.82</v>
      </c>
      <c r="E62" s="165">
        <f aca="true" t="shared" si="54" ref="E62:E63">D62*0.7</f>
        <v>1.274</v>
      </c>
      <c r="F62" s="166">
        <f t="shared" si="20"/>
        <v>0.7</v>
      </c>
      <c r="G62" s="165">
        <f aca="true" t="shared" si="55" ref="G62:G63">D62*1.7</f>
        <v>3.094</v>
      </c>
      <c r="H62" s="165">
        <f aca="true" t="shared" si="56" ref="H62:H71">G62*1.2</f>
        <v>3.7127999999999997</v>
      </c>
      <c r="I62" s="284">
        <v>0.2</v>
      </c>
      <c r="J62" s="271">
        <v>3.7</v>
      </c>
      <c r="K62" s="285"/>
      <c r="L62" s="248"/>
      <c r="M62" s="248"/>
      <c r="N62" s="248"/>
      <c r="O62" s="31"/>
      <c r="P62" s="33"/>
      <c r="Q62" s="34"/>
      <c r="R62" s="33"/>
      <c r="S62" s="34"/>
      <c r="T62" s="33"/>
      <c r="U62" s="34"/>
      <c r="V62" s="34"/>
      <c r="W62" s="34"/>
      <c r="X62" s="34"/>
      <c r="Y62" s="34"/>
      <c r="Z62" s="34"/>
      <c r="AA62" s="34"/>
      <c r="AB62" s="34"/>
      <c r="AC62" s="33"/>
      <c r="AD62" s="33"/>
      <c r="AE62" s="33"/>
      <c r="AF62" s="33"/>
      <c r="AG62" s="33"/>
      <c r="AH62" s="33"/>
      <c r="AI62" s="36"/>
      <c r="AJ62" s="36"/>
      <c r="AK62" s="168"/>
      <c r="AL62" s="251"/>
      <c r="AM62" s="39"/>
      <c r="AN62" s="286"/>
      <c r="AO62" s="286"/>
      <c r="AP62" s="286"/>
      <c r="AQ62" s="253"/>
      <c r="AR62" s="253"/>
      <c r="AS62" s="41"/>
      <c r="AT62" s="41"/>
      <c r="AU62" s="42">
        <f aca="true" t="shared" si="57" ref="AU62:AU66">AJ62+AL62+AN62</f>
        <v>0</v>
      </c>
      <c r="AV62" s="43" t="e">
        <f>#REF!+#REF!</f>
        <v>#REF!</v>
      </c>
      <c r="AW62" s="22"/>
      <c r="AX62" s="44" t="s">
        <v>127</v>
      </c>
      <c r="AY62" s="287">
        <v>9</v>
      </c>
      <c r="AZ62" s="288">
        <f aca="true" t="shared" si="58" ref="AZ62:AZ66">AG62+AE62+AC62+AA62+Y62+W62+U62+S62+Q62+O62+M62+K62</f>
        <v>0</v>
      </c>
      <c r="BA62" s="288">
        <f aca="true" t="shared" si="59" ref="BA62:BA66">AU62</f>
        <v>0</v>
      </c>
      <c r="BB62" s="289">
        <f aca="true" t="shared" si="60" ref="BB62:BB66">(AY62+AZ62)-BA62</f>
        <v>9</v>
      </c>
      <c r="BC62" s="48">
        <f aca="true" t="shared" si="61" ref="BC62:BC66">IF(BB62&gt;=6,"Ok","Commande")</f>
        <v>0</v>
      </c>
    </row>
    <row r="63" spans="1:55" ht="15.75" customHeight="1">
      <c r="A63" s="283"/>
      <c r="B63" s="290"/>
      <c r="C63" s="171" t="s">
        <v>128</v>
      </c>
      <c r="D63" s="172">
        <v>1.82</v>
      </c>
      <c r="E63" s="172">
        <f t="shared" si="54"/>
        <v>1.274</v>
      </c>
      <c r="F63" s="173">
        <f t="shared" si="20"/>
        <v>0.7</v>
      </c>
      <c r="G63" s="172">
        <f t="shared" si="55"/>
        <v>3.094</v>
      </c>
      <c r="H63" s="172">
        <f t="shared" si="56"/>
        <v>3.7127999999999997</v>
      </c>
      <c r="I63" s="284"/>
      <c r="J63" s="279">
        <v>3.7</v>
      </c>
      <c r="K63" s="291"/>
      <c r="L63" s="291"/>
      <c r="M63" s="244"/>
      <c r="N63" s="244"/>
      <c r="O63" s="35"/>
      <c r="P63" s="111"/>
      <c r="Q63" s="76"/>
      <c r="R63" s="111"/>
      <c r="S63" s="76"/>
      <c r="T63" s="111"/>
      <c r="U63" s="76"/>
      <c r="V63" s="76"/>
      <c r="W63" s="76"/>
      <c r="X63" s="76"/>
      <c r="Y63" s="111"/>
      <c r="Z63" s="76"/>
      <c r="AA63" s="111"/>
      <c r="AB63" s="76"/>
      <c r="AC63" s="111"/>
      <c r="AD63" s="111"/>
      <c r="AE63" s="111"/>
      <c r="AF63" s="111"/>
      <c r="AG63" s="111"/>
      <c r="AH63" s="111"/>
      <c r="AI63" s="77"/>
      <c r="AJ63" s="77"/>
      <c r="AK63" s="175"/>
      <c r="AL63" s="177"/>
      <c r="AM63" s="80"/>
      <c r="AN63" s="99"/>
      <c r="AO63" s="99"/>
      <c r="AP63" s="99"/>
      <c r="AQ63" s="82"/>
      <c r="AR63" s="82"/>
      <c r="AS63" s="82"/>
      <c r="AT63" s="82"/>
      <c r="AU63" s="83">
        <f t="shared" si="57"/>
        <v>0</v>
      </c>
      <c r="AV63" s="112" t="e">
        <f>#REF!+#REF!</f>
        <v>#REF!</v>
      </c>
      <c r="AW63" s="22"/>
      <c r="AX63" s="84" t="s">
        <v>128</v>
      </c>
      <c r="AY63" s="292">
        <v>12</v>
      </c>
      <c r="AZ63" s="293">
        <f t="shared" si="58"/>
        <v>0</v>
      </c>
      <c r="BA63" s="293">
        <f t="shared" si="59"/>
        <v>0</v>
      </c>
      <c r="BB63" s="294">
        <f t="shared" si="60"/>
        <v>12</v>
      </c>
      <c r="BC63" s="48">
        <f t="shared" si="61"/>
        <v>0</v>
      </c>
    </row>
    <row r="64" spans="1:55" ht="15.75" customHeight="1">
      <c r="A64" s="283"/>
      <c r="B64" s="290"/>
      <c r="C64" s="171" t="s">
        <v>129</v>
      </c>
      <c r="D64" s="172">
        <v>1.95</v>
      </c>
      <c r="E64" s="172">
        <f>D64*0.58</f>
        <v>1.131</v>
      </c>
      <c r="F64" s="173">
        <f t="shared" si="20"/>
        <v>0.5800000000000001</v>
      </c>
      <c r="G64" s="172">
        <f>D64*1.58</f>
        <v>3.081</v>
      </c>
      <c r="H64" s="172">
        <f t="shared" si="56"/>
        <v>3.6971999999999996</v>
      </c>
      <c r="I64" s="284"/>
      <c r="J64" s="279">
        <v>3.7</v>
      </c>
      <c r="K64" s="291"/>
      <c r="L64" s="291"/>
      <c r="M64" s="244"/>
      <c r="N64" s="244"/>
      <c r="O64" s="35"/>
      <c r="P64" s="111"/>
      <c r="Q64" s="76"/>
      <c r="R64" s="111"/>
      <c r="S64" s="76"/>
      <c r="T64" s="111"/>
      <c r="U64" s="76"/>
      <c r="V64" s="76"/>
      <c r="W64" s="76"/>
      <c r="X64" s="76"/>
      <c r="Y64" s="76"/>
      <c r="Z64" s="76"/>
      <c r="AA64" s="111"/>
      <c r="AB64" s="76"/>
      <c r="AC64" s="111"/>
      <c r="AD64" s="111"/>
      <c r="AE64" s="111"/>
      <c r="AF64" s="111"/>
      <c r="AG64" s="111"/>
      <c r="AH64" s="111"/>
      <c r="AI64" s="77"/>
      <c r="AJ64" s="77"/>
      <c r="AK64" s="175"/>
      <c r="AL64" s="177"/>
      <c r="AM64" s="80"/>
      <c r="AN64" s="295"/>
      <c r="AO64" s="295"/>
      <c r="AP64" s="295"/>
      <c r="AQ64" s="82"/>
      <c r="AR64" s="82"/>
      <c r="AS64" s="82"/>
      <c r="AT64" s="82"/>
      <c r="AU64" s="83">
        <f t="shared" si="57"/>
        <v>0</v>
      </c>
      <c r="AV64" s="112" t="e">
        <f>#REF!+#REF!+#REF!</f>
        <v>#REF!</v>
      </c>
      <c r="AW64" s="22"/>
      <c r="AX64" s="84" t="s">
        <v>129</v>
      </c>
      <c r="AY64" s="292">
        <v>12</v>
      </c>
      <c r="AZ64" s="293">
        <f t="shared" si="58"/>
        <v>0</v>
      </c>
      <c r="BA64" s="293">
        <f t="shared" si="59"/>
        <v>0</v>
      </c>
      <c r="BB64" s="294">
        <f t="shared" si="60"/>
        <v>12</v>
      </c>
      <c r="BC64" s="48">
        <f t="shared" si="61"/>
        <v>0</v>
      </c>
    </row>
    <row r="65" spans="1:55" ht="15.75" customHeight="1">
      <c r="A65" s="283"/>
      <c r="B65" s="290"/>
      <c r="C65" s="171" t="s">
        <v>130</v>
      </c>
      <c r="D65" s="172">
        <v>1.85</v>
      </c>
      <c r="E65" s="172">
        <f>D65*0.67</f>
        <v>1.2395</v>
      </c>
      <c r="F65" s="173">
        <f t="shared" si="20"/>
        <v>0.67</v>
      </c>
      <c r="G65" s="172">
        <f>D65*1.67</f>
        <v>3.0895</v>
      </c>
      <c r="H65" s="172">
        <f t="shared" si="56"/>
        <v>3.7074</v>
      </c>
      <c r="I65" s="284"/>
      <c r="J65" s="279">
        <v>3.7</v>
      </c>
      <c r="K65" s="291"/>
      <c r="L65" s="291"/>
      <c r="M65" s="244"/>
      <c r="N65" s="244"/>
      <c r="O65" s="35"/>
      <c r="P65" s="111"/>
      <c r="Q65" s="76"/>
      <c r="R65" s="111"/>
      <c r="S65" s="76"/>
      <c r="T65" s="111"/>
      <c r="U65" s="76"/>
      <c r="V65" s="76"/>
      <c r="W65" s="76"/>
      <c r="X65" s="76"/>
      <c r="Y65" s="76"/>
      <c r="Z65" s="76"/>
      <c r="AA65" s="111"/>
      <c r="AB65" s="76"/>
      <c r="AC65" s="111"/>
      <c r="AD65" s="111"/>
      <c r="AE65" s="111"/>
      <c r="AF65" s="111"/>
      <c r="AG65" s="111"/>
      <c r="AH65" s="111"/>
      <c r="AI65" s="77"/>
      <c r="AJ65" s="77"/>
      <c r="AK65" s="175"/>
      <c r="AL65" s="177"/>
      <c r="AM65" s="80"/>
      <c r="AN65" s="295"/>
      <c r="AO65" s="295"/>
      <c r="AP65" s="295"/>
      <c r="AQ65" s="82"/>
      <c r="AR65" s="82"/>
      <c r="AS65" s="82"/>
      <c r="AT65" s="82"/>
      <c r="AU65" s="83">
        <f t="shared" si="57"/>
        <v>0</v>
      </c>
      <c r="AV65" s="112" t="e">
        <f>#REF!+#REF!+#REF!</f>
        <v>#REF!</v>
      </c>
      <c r="AW65" s="22"/>
      <c r="AX65" s="84" t="s">
        <v>130</v>
      </c>
      <c r="AY65" s="292">
        <v>12</v>
      </c>
      <c r="AZ65" s="293">
        <f t="shared" si="58"/>
        <v>0</v>
      </c>
      <c r="BA65" s="293">
        <f t="shared" si="59"/>
        <v>0</v>
      </c>
      <c r="BB65" s="294">
        <f t="shared" si="60"/>
        <v>12</v>
      </c>
      <c r="BC65" s="48">
        <f t="shared" si="61"/>
        <v>0</v>
      </c>
    </row>
    <row r="66" spans="1:55" ht="15.75" customHeight="1">
      <c r="A66" s="283"/>
      <c r="B66" s="290" t="s">
        <v>131</v>
      </c>
      <c r="C66" s="171" t="s">
        <v>132</v>
      </c>
      <c r="D66" s="172">
        <v>1.82</v>
      </c>
      <c r="E66" s="172">
        <f>D66*0.7</f>
        <v>1.274</v>
      </c>
      <c r="F66" s="173">
        <f t="shared" si="20"/>
        <v>0.7</v>
      </c>
      <c r="G66" s="172">
        <f>D66*1.7</f>
        <v>3.094</v>
      </c>
      <c r="H66" s="172">
        <f t="shared" si="56"/>
        <v>3.7127999999999997</v>
      </c>
      <c r="I66" s="284"/>
      <c r="J66" s="279">
        <v>3.7</v>
      </c>
      <c r="K66" s="291"/>
      <c r="L66" s="291"/>
      <c r="M66" s="244"/>
      <c r="N66" s="244"/>
      <c r="O66" s="35"/>
      <c r="P66" s="111"/>
      <c r="Q66" s="76"/>
      <c r="R66" s="111"/>
      <c r="S66" s="76"/>
      <c r="T66" s="111"/>
      <c r="U66" s="76"/>
      <c r="V66" s="76"/>
      <c r="W66" s="76"/>
      <c r="X66" s="76"/>
      <c r="Y66" s="76"/>
      <c r="Z66" s="76"/>
      <c r="AA66" s="76"/>
      <c r="AB66" s="76"/>
      <c r="AC66" s="111"/>
      <c r="AD66" s="111"/>
      <c r="AE66" s="111"/>
      <c r="AF66" s="111"/>
      <c r="AG66" s="111"/>
      <c r="AH66" s="111"/>
      <c r="AI66" s="77"/>
      <c r="AJ66" s="77"/>
      <c r="AK66" s="175"/>
      <c r="AL66" s="177"/>
      <c r="AM66" s="80"/>
      <c r="AN66" s="295"/>
      <c r="AO66" s="295"/>
      <c r="AP66" s="295"/>
      <c r="AQ66" s="82"/>
      <c r="AR66" s="82"/>
      <c r="AS66" s="82"/>
      <c r="AT66" s="82"/>
      <c r="AU66" s="83">
        <f t="shared" si="57"/>
        <v>0</v>
      </c>
      <c r="AV66" s="112" t="e">
        <f>#REF!+#REF!+#REF!</f>
        <v>#REF!</v>
      </c>
      <c r="AW66" s="22"/>
      <c r="AX66" s="84" t="s">
        <v>132</v>
      </c>
      <c r="AY66" s="292">
        <v>11</v>
      </c>
      <c r="AZ66" s="293">
        <f t="shared" si="58"/>
        <v>0</v>
      </c>
      <c r="BA66" s="293">
        <f t="shared" si="59"/>
        <v>0</v>
      </c>
      <c r="BB66" s="294">
        <f t="shared" si="60"/>
        <v>11</v>
      </c>
      <c r="BC66" s="48">
        <f t="shared" si="61"/>
        <v>0</v>
      </c>
    </row>
    <row r="67" spans="1:55" ht="15.75" customHeight="1">
      <c r="A67" s="283"/>
      <c r="B67" s="290"/>
      <c r="C67" s="171" t="s">
        <v>133</v>
      </c>
      <c r="D67" s="172">
        <v>7.9</v>
      </c>
      <c r="E67" s="172">
        <f aca="true" t="shared" si="62" ref="E67:E68">D67*0.25</f>
        <v>1.975</v>
      </c>
      <c r="F67" s="173">
        <f t="shared" si="20"/>
        <v>0.25</v>
      </c>
      <c r="G67" s="172">
        <f aca="true" t="shared" si="63" ref="G67:G68">D67*1.25</f>
        <v>9.875</v>
      </c>
      <c r="H67" s="172">
        <f t="shared" si="56"/>
        <v>11.85</v>
      </c>
      <c r="I67" s="284"/>
      <c r="J67" s="279">
        <v>11.85</v>
      </c>
      <c r="K67" s="291"/>
      <c r="L67" s="291"/>
      <c r="M67" s="244"/>
      <c r="N67" s="244"/>
      <c r="O67" s="35"/>
      <c r="P67" s="111"/>
      <c r="Q67" s="76"/>
      <c r="R67" s="111"/>
      <c r="S67" s="76"/>
      <c r="T67" s="111"/>
      <c r="U67" s="76"/>
      <c r="V67" s="76"/>
      <c r="W67" s="76"/>
      <c r="X67" s="76"/>
      <c r="Y67" s="76"/>
      <c r="Z67" s="76"/>
      <c r="AA67" s="296"/>
      <c r="AB67" s="76"/>
      <c r="AC67" s="111"/>
      <c r="AD67" s="111"/>
      <c r="AE67" s="160"/>
      <c r="AF67" s="160"/>
      <c r="AG67" s="111"/>
      <c r="AH67" s="111"/>
      <c r="AI67" s="77"/>
      <c r="AJ67" s="77"/>
      <c r="AK67" s="175"/>
      <c r="AL67" s="177"/>
      <c r="AM67" s="80"/>
      <c r="AN67" s="188"/>
      <c r="AO67" s="188"/>
      <c r="AP67" s="188"/>
      <c r="AQ67" s="82"/>
      <c r="AR67" s="82"/>
      <c r="AS67" s="82"/>
      <c r="AT67" s="82"/>
      <c r="AU67" s="83"/>
      <c r="AV67" s="112"/>
      <c r="AW67" s="22"/>
      <c r="AX67" s="84"/>
      <c r="AY67" s="292"/>
      <c r="AZ67" s="293"/>
      <c r="BA67" s="293"/>
      <c r="BB67" s="294"/>
      <c r="BC67" s="48"/>
    </row>
    <row r="68" spans="1:55" ht="15.75" customHeight="1">
      <c r="A68" s="283"/>
      <c r="B68" s="290"/>
      <c r="C68" s="171" t="s">
        <v>134</v>
      </c>
      <c r="D68" s="172">
        <v>11.85</v>
      </c>
      <c r="E68" s="172">
        <f t="shared" si="62"/>
        <v>2.9625</v>
      </c>
      <c r="F68" s="173">
        <f t="shared" si="20"/>
        <v>0.25</v>
      </c>
      <c r="G68" s="172">
        <f t="shared" si="63"/>
        <v>14.8125</v>
      </c>
      <c r="H68" s="172">
        <f t="shared" si="56"/>
        <v>17.775</v>
      </c>
      <c r="I68" s="284"/>
      <c r="J68" s="279">
        <v>18</v>
      </c>
      <c r="K68" s="291"/>
      <c r="L68" s="291"/>
      <c r="M68" s="244"/>
      <c r="N68" s="244"/>
      <c r="O68" s="35"/>
      <c r="P68" s="111"/>
      <c r="Q68" s="76"/>
      <c r="R68" s="111"/>
      <c r="S68" s="76"/>
      <c r="T68" s="111"/>
      <c r="U68" s="76"/>
      <c r="V68" s="76"/>
      <c r="W68" s="76"/>
      <c r="X68" s="76"/>
      <c r="Y68" s="76"/>
      <c r="Z68" s="76"/>
      <c r="AA68" s="296"/>
      <c r="AB68" s="76"/>
      <c r="AC68" s="111"/>
      <c r="AD68" s="111"/>
      <c r="AE68" s="160"/>
      <c r="AF68" s="160"/>
      <c r="AG68" s="111"/>
      <c r="AH68" s="111"/>
      <c r="AI68" s="77"/>
      <c r="AJ68" s="77"/>
      <c r="AK68" s="175"/>
      <c r="AL68" s="177"/>
      <c r="AM68" s="80"/>
      <c r="AN68" s="188"/>
      <c r="AO68" s="188"/>
      <c r="AP68" s="188"/>
      <c r="AQ68" s="82"/>
      <c r="AR68" s="82"/>
      <c r="AS68" s="82"/>
      <c r="AT68" s="82"/>
      <c r="AU68" s="83"/>
      <c r="AV68" s="112"/>
      <c r="AW68" s="22"/>
      <c r="AX68" s="84"/>
      <c r="AY68" s="292"/>
      <c r="AZ68" s="293"/>
      <c r="BA68" s="293"/>
      <c r="BB68" s="294"/>
      <c r="BC68" s="48"/>
    </row>
    <row r="69" spans="1:55" ht="15.75" customHeight="1">
      <c r="A69" s="283"/>
      <c r="B69" s="290"/>
      <c r="C69" s="171" t="s">
        <v>135</v>
      </c>
      <c r="D69" s="172">
        <v>13.9</v>
      </c>
      <c r="E69" s="172">
        <f>D69*0.5</f>
        <v>6.95</v>
      </c>
      <c r="F69" s="173">
        <f t="shared" si="20"/>
        <v>0.5</v>
      </c>
      <c r="G69" s="172">
        <f>D69*1.5</f>
        <v>20.85</v>
      </c>
      <c r="H69" s="172">
        <f t="shared" si="56"/>
        <v>25.02</v>
      </c>
      <c r="I69" s="284"/>
      <c r="J69" s="279">
        <v>25</v>
      </c>
      <c r="K69" s="244"/>
      <c r="L69" s="244"/>
      <c r="M69" s="244"/>
      <c r="N69" s="244"/>
      <c r="O69" s="35"/>
      <c r="P69" s="111"/>
      <c r="Q69" s="76"/>
      <c r="R69" s="111"/>
      <c r="S69" s="76"/>
      <c r="T69" s="111"/>
      <c r="U69" s="76"/>
      <c r="V69" s="76"/>
      <c r="W69" s="76"/>
      <c r="X69" s="76"/>
      <c r="Y69" s="111"/>
      <c r="Z69" s="76"/>
      <c r="AA69" s="297"/>
      <c r="AB69" s="76"/>
      <c r="AC69" s="111"/>
      <c r="AD69" s="111"/>
      <c r="AE69" s="184"/>
      <c r="AF69" s="160"/>
      <c r="AG69" s="111"/>
      <c r="AH69" s="111"/>
      <c r="AI69" s="77"/>
      <c r="AJ69" s="77"/>
      <c r="AK69" s="175"/>
      <c r="AL69" s="177"/>
      <c r="AM69" s="80"/>
      <c r="AN69" s="99"/>
      <c r="AO69" s="99"/>
      <c r="AP69" s="99"/>
      <c r="AQ69" s="82"/>
      <c r="AR69" s="82"/>
      <c r="AS69" s="82"/>
      <c r="AT69" s="82"/>
      <c r="AU69" s="83">
        <f aca="true" t="shared" si="64" ref="AU69:AU71">AJ69+AL69+AN69</f>
        <v>0</v>
      </c>
      <c r="AV69" s="112" t="e">
        <f>#REF!+#REF!</f>
        <v>#REF!</v>
      </c>
      <c r="AW69" s="22"/>
      <c r="AX69" s="84" t="s">
        <v>135</v>
      </c>
      <c r="AY69" s="292">
        <v>12</v>
      </c>
      <c r="AZ69" s="293">
        <f>AG69+AE69+AC69+AB70+Y69+W69+U69+S69+Q69+O69+M69+K69</f>
        <v>0</v>
      </c>
      <c r="BA69" s="293">
        <f aca="true" t="shared" si="65" ref="BA69:BA71">AU69</f>
        <v>0</v>
      </c>
      <c r="BB69" s="294">
        <f aca="true" t="shared" si="66" ref="BB69:BB71">(AY69+AZ69)-BA69</f>
        <v>12</v>
      </c>
      <c r="BC69" s="48">
        <f aca="true" t="shared" si="67" ref="BC69:BC71">IF(BB69&gt;=6,"Ok","Commande")</f>
        <v>0</v>
      </c>
    </row>
    <row r="70" spans="1:55" ht="15.75" customHeight="1">
      <c r="A70" s="283"/>
      <c r="B70" s="290"/>
      <c r="C70" s="171" t="s">
        <v>136</v>
      </c>
      <c r="D70" s="172">
        <v>2.9</v>
      </c>
      <c r="E70" s="172">
        <f>D70*1</f>
        <v>2.9</v>
      </c>
      <c r="F70" s="173">
        <f t="shared" si="20"/>
        <v>1</v>
      </c>
      <c r="G70" s="172">
        <f>D70*2</f>
        <v>5.8</v>
      </c>
      <c r="H70" s="172">
        <f t="shared" si="56"/>
        <v>6.96</v>
      </c>
      <c r="I70" s="284"/>
      <c r="J70" s="279">
        <v>7.2</v>
      </c>
      <c r="K70" s="75"/>
      <c r="L70" s="75"/>
      <c r="M70" s="75"/>
      <c r="N70" s="75"/>
      <c r="O70" s="143"/>
      <c r="P70" s="160"/>
      <c r="Q70" s="184"/>
      <c r="R70" s="160"/>
      <c r="S70" s="184"/>
      <c r="T70" s="160"/>
      <c r="U70" s="184"/>
      <c r="V70" s="184"/>
      <c r="W70" s="184"/>
      <c r="X70" s="184"/>
      <c r="Y70" s="160"/>
      <c r="Z70" s="184"/>
      <c r="AA70" s="76"/>
      <c r="AB70" s="184"/>
      <c r="AC70" s="160"/>
      <c r="AD70" s="160"/>
      <c r="AE70" s="184"/>
      <c r="AF70" s="160"/>
      <c r="AG70" s="160"/>
      <c r="AH70" s="160"/>
      <c r="AI70" s="144"/>
      <c r="AJ70" s="144"/>
      <c r="AK70" s="185"/>
      <c r="AL70" s="177"/>
      <c r="AM70" s="147"/>
      <c r="AN70" s="295"/>
      <c r="AO70" s="295"/>
      <c r="AP70" s="295"/>
      <c r="AQ70" s="298"/>
      <c r="AR70" s="298"/>
      <c r="AS70" s="298"/>
      <c r="AT70" s="298"/>
      <c r="AU70" s="83">
        <f t="shared" si="64"/>
        <v>0</v>
      </c>
      <c r="AV70" s="148" t="e">
        <f>#REF!+#REF!+#REF!</f>
        <v>#REF!</v>
      </c>
      <c r="AW70" s="22"/>
      <c r="AX70" s="149" t="s">
        <v>137</v>
      </c>
      <c r="AY70" s="299"/>
      <c r="AZ70" s="300">
        <f aca="true" t="shared" si="68" ref="AZ70:AZ71">AE70+AG70</f>
        <v>0</v>
      </c>
      <c r="BA70" s="300">
        <f t="shared" si="65"/>
        <v>0</v>
      </c>
      <c r="BB70" s="294">
        <f t="shared" si="66"/>
        <v>0</v>
      </c>
      <c r="BC70" s="48">
        <f t="shared" si="67"/>
        <v>0</v>
      </c>
    </row>
    <row r="71" spans="1:55" ht="15.75" customHeight="1">
      <c r="A71" s="283"/>
      <c r="B71" s="290"/>
      <c r="C71" s="194" t="s">
        <v>138</v>
      </c>
      <c r="D71" s="190">
        <v>2.8</v>
      </c>
      <c r="E71" s="190">
        <f>D71*0.25</f>
        <v>0.7</v>
      </c>
      <c r="F71" s="191">
        <f t="shared" si="20"/>
        <v>0.25</v>
      </c>
      <c r="G71" s="190">
        <f>D71*1.25</f>
        <v>3.5</v>
      </c>
      <c r="H71" s="190">
        <f t="shared" si="56"/>
        <v>4.2</v>
      </c>
      <c r="I71" s="284"/>
      <c r="J71" s="282">
        <v>5.2</v>
      </c>
      <c r="K71" s="75"/>
      <c r="L71" s="75"/>
      <c r="M71" s="75"/>
      <c r="N71" s="75"/>
      <c r="O71" s="143"/>
      <c r="P71" s="160"/>
      <c r="Q71" s="184"/>
      <c r="R71" s="160"/>
      <c r="S71" s="184"/>
      <c r="T71" s="160"/>
      <c r="U71" s="184"/>
      <c r="V71" s="184"/>
      <c r="W71" s="184"/>
      <c r="X71" s="184"/>
      <c r="Y71" s="160"/>
      <c r="Z71" s="184"/>
      <c r="AA71" s="160"/>
      <c r="AB71" s="184"/>
      <c r="AC71" s="160"/>
      <c r="AD71" s="160"/>
      <c r="AE71" s="184"/>
      <c r="AF71" s="160"/>
      <c r="AG71" s="160"/>
      <c r="AH71" s="160"/>
      <c r="AI71" s="144"/>
      <c r="AJ71" s="144"/>
      <c r="AK71" s="185"/>
      <c r="AL71" s="177"/>
      <c r="AM71" s="147"/>
      <c r="AN71" s="99"/>
      <c r="AO71" s="301"/>
      <c r="AP71" s="301"/>
      <c r="AQ71" s="298"/>
      <c r="AR71" s="298"/>
      <c r="AS71" s="298"/>
      <c r="AT71" s="298"/>
      <c r="AU71" s="83">
        <f t="shared" si="64"/>
        <v>0</v>
      </c>
      <c r="AV71" s="148" t="e">
        <f>#REF!+#REF!</f>
        <v>#REF!</v>
      </c>
      <c r="AW71" s="22"/>
      <c r="AX71" s="149" t="s">
        <v>139</v>
      </c>
      <c r="AY71" s="299"/>
      <c r="AZ71" s="300">
        <f t="shared" si="68"/>
        <v>0</v>
      </c>
      <c r="BA71" s="300">
        <f t="shared" si="65"/>
        <v>0</v>
      </c>
      <c r="BB71" s="294">
        <f t="shared" si="66"/>
        <v>0</v>
      </c>
      <c r="BC71" s="48">
        <f t="shared" si="67"/>
        <v>0</v>
      </c>
    </row>
    <row r="72" spans="11:50" ht="18.75">
      <c r="K72" s="302"/>
      <c r="L72" s="302">
        <f>SUM(L4:L71)</f>
        <v>0</v>
      </c>
      <c r="M72" s="302"/>
      <c r="N72" s="302">
        <f>SUM(N4:N71)</f>
        <v>0</v>
      </c>
      <c r="O72" s="303"/>
      <c r="P72" s="304">
        <f>SUM(P4:P71)</f>
        <v>0</v>
      </c>
      <c r="Q72" s="304"/>
      <c r="R72" s="304">
        <f>SUM(R4:R71)</f>
        <v>0</v>
      </c>
      <c r="S72" s="304"/>
      <c r="T72" s="304">
        <f>SUM(T4:T71)</f>
        <v>0</v>
      </c>
      <c r="U72" s="304"/>
      <c r="V72" s="304">
        <f>SUM(V4:V71)</f>
        <v>0</v>
      </c>
      <c r="W72" s="304"/>
      <c r="X72" s="304">
        <f>SUM(X4:X71)</f>
        <v>0</v>
      </c>
      <c r="Y72" s="304"/>
      <c r="Z72" s="304">
        <f>SUM(Z4:Z71)</f>
        <v>0</v>
      </c>
      <c r="AA72" s="304"/>
      <c r="AB72" s="304">
        <f>SUM(AB4:AB71)</f>
        <v>0</v>
      </c>
      <c r="AC72" s="304"/>
      <c r="AD72" s="304">
        <f>SUM(AD4:AD71)</f>
        <v>0</v>
      </c>
      <c r="AE72" s="304"/>
      <c r="AF72" s="304">
        <f>SUM(AF4:AF71)</f>
        <v>0</v>
      </c>
      <c r="AG72" s="304"/>
      <c r="AH72" s="304">
        <f>SUM(AH4:AH71)</f>
        <v>0</v>
      </c>
      <c r="AK72" s="303"/>
      <c r="AL72" s="305"/>
      <c r="AM72" s="303"/>
      <c r="AN72" s="304"/>
      <c r="AO72" s="304"/>
      <c r="AP72" s="304"/>
      <c r="AQ72" s="304"/>
      <c r="AR72" s="304"/>
      <c r="AS72" s="304"/>
      <c r="AT72" s="304"/>
      <c r="AU72" s="304"/>
      <c r="AV72" s="304"/>
      <c r="AW72" s="302"/>
      <c r="AX72" s="302"/>
    </row>
    <row r="73" spans="5:50" ht="13.5">
      <c r="E73" s="306"/>
      <c r="F73" s="306"/>
      <c r="G73" s="306"/>
      <c r="H73" s="306"/>
      <c r="I73" s="306"/>
      <c r="J73" s="306"/>
      <c r="K73" s="10"/>
      <c r="L73" s="10"/>
      <c r="M73" s="10"/>
      <c r="N73" s="10"/>
      <c r="AW73" s="307"/>
      <c r="AX73" s="307"/>
    </row>
    <row r="74" spans="1:50" s="297" customFormat="1" ht="12.75">
      <c r="A74" s="308"/>
      <c r="C74" s="309" t="s">
        <v>140</v>
      </c>
      <c r="AU74" s="310"/>
      <c r="AV74" s="311"/>
      <c r="AW74" s="312"/>
      <c r="AX74" s="313"/>
    </row>
    <row r="75" spans="47:50" s="297" customFormat="1" ht="12.75">
      <c r="AU75" s="310"/>
      <c r="AV75" s="314"/>
      <c r="AW75" s="315"/>
      <c r="AX75" s="313"/>
    </row>
    <row r="76" spans="3:50" s="297" customFormat="1" ht="12.75">
      <c r="C76" s="316"/>
      <c r="D76" t="s">
        <v>141</v>
      </c>
      <c r="E76"/>
      <c r="AU76" s="310"/>
      <c r="AV76" s="314"/>
      <c r="AW76" s="315"/>
      <c r="AX76" s="313"/>
    </row>
    <row r="77" spans="3:50" s="297" customFormat="1" ht="15">
      <c r="C77" s="317"/>
      <c r="D77" t="s">
        <v>142</v>
      </c>
      <c r="E77"/>
      <c r="S77" s="318"/>
      <c r="AU77" s="310"/>
      <c r="AV77" s="319"/>
      <c r="AW77" s="320"/>
      <c r="AX77" s="321"/>
    </row>
    <row r="78" spans="3:50" s="297" customFormat="1" ht="15.75">
      <c r="C78" s="322"/>
      <c r="D78" t="s">
        <v>143</v>
      </c>
      <c r="E78"/>
      <c r="S78" s="323"/>
      <c r="AU78" s="310"/>
      <c r="AV78" s="324"/>
      <c r="AW78" s="325"/>
      <c r="AX78" s="326"/>
    </row>
    <row r="79" spans="3:48" ht="15">
      <c r="C79" s="327"/>
      <c r="D79" t="s">
        <v>144</v>
      </c>
      <c r="S79" s="328"/>
      <c r="AV79" s="329"/>
    </row>
    <row r="80" spans="3:48" ht="15">
      <c r="C80" s="330"/>
      <c r="D80" t="s">
        <v>145</v>
      </c>
      <c r="R80" s="307"/>
      <c r="S80" s="328"/>
      <c r="AB80" s="307"/>
      <c r="AC80" s="307"/>
      <c r="AD80" s="307"/>
      <c r="AE80" s="307"/>
      <c r="AF80" s="307"/>
      <c r="AG80" s="307"/>
      <c r="AH80" s="307"/>
      <c r="AV80" s="329"/>
    </row>
    <row r="81" spans="19:48" ht="15.75">
      <c r="S81" s="328"/>
      <c r="AV81" s="329"/>
    </row>
    <row r="82" spans="47:50" ht="12.75">
      <c r="AU82" s="331" t="s">
        <v>146</v>
      </c>
      <c r="AV82" s="332" t="s">
        <v>147</v>
      </c>
      <c r="AW82" s="333">
        <f>AW74+'Commande Souvenirs, librairie'!BA247</f>
        <v>5500</v>
      </c>
      <c r="AX82" s="334"/>
    </row>
    <row r="83" spans="5:50" ht="12.75">
      <c r="E83" s="10"/>
      <c r="F83" s="10"/>
      <c r="G83" s="10"/>
      <c r="H83" s="10"/>
      <c r="I83" s="10"/>
      <c r="J83" s="10"/>
      <c r="P83" s="307"/>
      <c r="AU83" s="331"/>
      <c r="AV83" s="335" t="s">
        <v>148</v>
      </c>
      <c r="AW83" s="336">
        <f>AW75+'Commande Souvenirs, librairie'!BA248</f>
        <v>97.87</v>
      </c>
      <c r="AX83" s="334"/>
    </row>
    <row r="84" spans="16:50" ht="12.75">
      <c r="P84" s="307"/>
      <c r="AU84" s="331"/>
      <c r="AV84" s="337"/>
      <c r="AW84" s="338"/>
      <c r="AX84" s="339"/>
    </row>
    <row r="85" spans="47:50" ht="19.5">
      <c r="AU85" s="331"/>
      <c r="AV85" s="340" t="s">
        <v>149</v>
      </c>
      <c r="AW85" s="341">
        <f>AW82-AW83</f>
        <v>5402.13</v>
      </c>
      <c r="AX85" s="342"/>
    </row>
    <row r="92" ht="12.75">
      <c r="S92" s="307"/>
    </row>
    <row r="98" ht="12.75">
      <c r="J98">
        <f>84+88.62+47.94</f>
        <v>220.56</v>
      </c>
    </row>
  </sheetData>
  <sheetProtection selectLockedCells="1" selectUnlockedCells="1"/>
  <mergeCells count="53">
    <mergeCell ref="A1:J2"/>
    <mergeCell ref="AG1:AH1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Q2:AR2"/>
    <mergeCell ref="AU2:AU3"/>
    <mergeCell ref="AV2:AV3"/>
    <mergeCell ref="AX2:AX3"/>
    <mergeCell ref="AY2:AY3"/>
    <mergeCell ref="AZ2:AZ3"/>
    <mergeCell ref="BA2:BA3"/>
    <mergeCell ref="BB2:BB3"/>
    <mergeCell ref="BC2:BC3"/>
    <mergeCell ref="AW3:AW71"/>
    <mergeCell ref="A4:A7"/>
    <mergeCell ref="B4:B7"/>
    <mergeCell ref="I4:I19"/>
    <mergeCell ref="A8:A10"/>
    <mergeCell ref="A12:A13"/>
    <mergeCell ref="B12:B13"/>
    <mergeCell ref="A14:A17"/>
    <mergeCell ref="C15:C16"/>
    <mergeCell ref="A18:A19"/>
    <mergeCell ref="A20:A31"/>
    <mergeCell ref="B20:B37"/>
    <mergeCell ref="I20:I42"/>
    <mergeCell ref="A32:A37"/>
    <mergeCell ref="A38:A40"/>
    <mergeCell ref="A43:A44"/>
    <mergeCell ref="I43:I44"/>
    <mergeCell ref="A46:A47"/>
    <mergeCell ref="I46:I48"/>
    <mergeCell ref="A49:A55"/>
    <mergeCell ref="I49:I54"/>
    <mergeCell ref="A56:A61"/>
    <mergeCell ref="I56:I61"/>
    <mergeCell ref="A62:A71"/>
    <mergeCell ref="I62:I71"/>
    <mergeCell ref="AU74:AU78"/>
    <mergeCell ref="AU82:AU85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portrait" paperSize="8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1"/>
  <sheetViews>
    <sheetView workbookViewId="0" topLeftCell="A1">
      <selection activeCell="C3" sqref="C3"/>
    </sheetView>
  </sheetViews>
  <sheetFormatPr defaultColWidth="9.140625" defaultRowHeight="12.75"/>
  <cols>
    <col min="1" max="1" width="22.421875" style="0" customWidth="1"/>
    <col min="2" max="2" width="19.57421875" style="0" customWidth="1"/>
    <col min="3" max="3" width="24.57421875" style="0" customWidth="1"/>
    <col min="4" max="12" width="11.00390625" style="0" customWidth="1"/>
    <col min="13" max="13" width="13.28125" style="0" customWidth="1"/>
    <col min="14" max="16384" width="11.00390625" style="0" customWidth="1"/>
  </cols>
  <sheetData>
    <row r="2" spans="1:3" ht="13.5">
      <c r="A2" s="597"/>
      <c r="B2" s="597"/>
      <c r="C2" s="597"/>
    </row>
    <row r="3" spans="1:14" ht="29.25" customHeight="1">
      <c r="A3" s="965" t="s">
        <v>1170</v>
      </c>
      <c r="B3" s="965"/>
      <c r="C3" s="965">
        <v>2021</v>
      </c>
      <c r="D3" s="1805" t="s">
        <v>6</v>
      </c>
      <c r="E3" s="1805"/>
      <c r="F3" s="1806" t="s">
        <v>150</v>
      </c>
      <c r="G3" s="1806"/>
      <c r="H3" s="1807" t="s">
        <v>8</v>
      </c>
      <c r="I3" s="1807"/>
      <c r="J3" s="1808"/>
      <c r="K3" s="605"/>
      <c r="L3" s="605"/>
      <c r="M3" s="339"/>
      <c r="N3" s="339"/>
    </row>
    <row r="4" spans="1:14" ht="82.5">
      <c r="A4" s="1809" t="s">
        <v>494</v>
      </c>
      <c r="B4" s="1810" t="s">
        <v>495</v>
      </c>
      <c r="C4" s="1809" t="s">
        <v>1163</v>
      </c>
      <c r="D4" s="1811" t="s">
        <v>497</v>
      </c>
      <c r="E4" s="1812" t="s">
        <v>1119</v>
      </c>
      <c r="F4" s="1811" t="s">
        <v>497</v>
      </c>
      <c r="G4" s="1812" t="s">
        <v>505</v>
      </c>
      <c r="H4" s="1811" t="s">
        <v>497</v>
      </c>
      <c r="I4" s="1812" t="s">
        <v>506</v>
      </c>
      <c r="J4" s="1813" t="s">
        <v>1120</v>
      </c>
      <c r="K4" s="1342" t="s">
        <v>624</v>
      </c>
      <c r="L4" s="1343" t="s">
        <v>515</v>
      </c>
      <c r="M4" s="1344" t="s">
        <v>516</v>
      </c>
      <c r="N4" s="1345" t="s">
        <v>517</v>
      </c>
    </row>
    <row r="5" spans="1:14" ht="21.75">
      <c r="A5" s="1814" t="s">
        <v>426</v>
      </c>
      <c r="B5" s="1815" t="s">
        <v>556</v>
      </c>
      <c r="C5" s="1816">
        <v>1</v>
      </c>
      <c r="D5" s="1725"/>
      <c r="E5" s="1726">
        <f aca="true" t="shared" si="0" ref="E5:E19">D5*C5</f>
        <v>0</v>
      </c>
      <c r="F5" s="1468"/>
      <c r="G5" s="1726">
        <f aca="true" t="shared" si="1" ref="G5:G19">F5*C5</f>
        <v>0</v>
      </c>
      <c r="H5" s="1468"/>
      <c r="I5" s="1726">
        <f aca="true" t="shared" si="2" ref="I5:I19">H5*C5</f>
        <v>0</v>
      </c>
      <c r="J5" s="1727">
        <f>'[3]Commande Souvenirs, librairie'!F169</f>
        <v>4.43</v>
      </c>
      <c r="K5" s="1265">
        <f aca="true" t="shared" si="3" ref="K5:K19">C5-J5</f>
        <v>-3.4299999999999997</v>
      </c>
      <c r="L5" s="1464">
        <f aca="true" t="shared" si="4" ref="L5:L19">K5*N5</f>
        <v>0</v>
      </c>
      <c r="M5" s="1465">
        <f aca="true" t="shared" si="5" ref="M5:M20">I5+G5+E5</f>
        <v>0</v>
      </c>
      <c r="N5" s="1466">
        <f aca="true" t="shared" si="6" ref="N5:N20">D5+F5+H5</f>
        <v>0</v>
      </c>
    </row>
    <row r="6" spans="1:14" ht="21" customHeight="1">
      <c r="A6" s="1814" t="s">
        <v>462</v>
      </c>
      <c r="B6" s="1817" t="s">
        <v>179</v>
      </c>
      <c r="C6" s="1818">
        <v>2</v>
      </c>
      <c r="D6" s="1688"/>
      <c r="E6" s="1636">
        <f t="shared" si="0"/>
        <v>0</v>
      </c>
      <c r="F6" s="1223"/>
      <c r="G6" s="1636">
        <f t="shared" si="1"/>
        <v>0</v>
      </c>
      <c r="H6" s="1223"/>
      <c r="I6" s="1636">
        <f t="shared" si="2"/>
        <v>0</v>
      </c>
      <c r="J6" s="1689">
        <v>1.3</v>
      </c>
      <c r="K6" s="1206">
        <f t="shared" si="3"/>
        <v>0.7</v>
      </c>
      <c r="L6" s="1355">
        <f t="shared" si="4"/>
        <v>0</v>
      </c>
      <c r="M6" s="1356">
        <f t="shared" si="5"/>
        <v>0</v>
      </c>
      <c r="N6" s="804">
        <f t="shared" si="6"/>
        <v>0</v>
      </c>
    </row>
    <row r="7" spans="1:14" ht="28.5">
      <c r="A7" s="1814"/>
      <c r="B7" s="1819" t="s">
        <v>181</v>
      </c>
      <c r="C7" s="1820">
        <v>2</v>
      </c>
      <c r="D7" s="1696"/>
      <c r="E7" s="1628">
        <f t="shared" si="0"/>
        <v>0</v>
      </c>
      <c r="F7" s="525"/>
      <c r="G7" s="1628">
        <f t="shared" si="1"/>
        <v>0</v>
      </c>
      <c r="H7" s="525"/>
      <c r="I7" s="1628">
        <f t="shared" si="2"/>
        <v>0</v>
      </c>
      <c r="J7" s="1697">
        <v>1.3</v>
      </c>
      <c r="K7" s="662">
        <f t="shared" si="3"/>
        <v>0.7</v>
      </c>
      <c r="L7" s="663">
        <f t="shared" si="4"/>
        <v>0</v>
      </c>
      <c r="M7" s="664">
        <f t="shared" si="5"/>
        <v>0</v>
      </c>
      <c r="N7" s="665">
        <f t="shared" si="6"/>
        <v>0</v>
      </c>
    </row>
    <row r="8" spans="1:14" ht="20.25">
      <c r="A8" s="1814"/>
      <c r="B8" s="1819" t="s">
        <v>182</v>
      </c>
      <c r="C8" s="1820">
        <v>2</v>
      </c>
      <c r="D8" s="1696"/>
      <c r="E8" s="1628">
        <f t="shared" si="0"/>
        <v>0</v>
      </c>
      <c r="F8" s="525"/>
      <c r="G8" s="1628">
        <f t="shared" si="1"/>
        <v>0</v>
      </c>
      <c r="H8" s="525"/>
      <c r="I8" s="1628">
        <f t="shared" si="2"/>
        <v>0</v>
      </c>
      <c r="J8" s="1697">
        <v>1.3</v>
      </c>
      <c r="K8" s="662">
        <f t="shared" si="3"/>
        <v>0.7</v>
      </c>
      <c r="L8" s="663">
        <f t="shared" si="4"/>
        <v>0</v>
      </c>
      <c r="M8" s="664">
        <f t="shared" si="5"/>
        <v>0</v>
      </c>
      <c r="N8" s="665">
        <f t="shared" si="6"/>
        <v>0</v>
      </c>
    </row>
    <row r="9" spans="1:14" ht="28.5">
      <c r="A9" s="1814"/>
      <c r="B9" s="1819" t="s">
        <v>183</v>
      </c>
      <c r="C9" s="1820">
        <v>2</v>
      </c>
      <c r="D9" s="1696"/>
      <c r="E9" s="1628">
        <f t="shared" si="0"/>
        <v>0</v>
      </c>
      <c r="F9" s="525"/>
      <c r="G9" s="1628">
        <f t="shared" si="1"/>
        <v>0</v>
      </c>
      <c r="H9" s="525"/>
      <c r="I9" s="1628">
        <f t="shared" si="2"/>
        <v>0</v>
      </c>
      <c r="J9" s="1697">
        <v>1.3</v>
      </c>
      <c r="K9" s="662">
        <f t="shared" si="3"/>
        <v>0.7</v>
      </c>
      <c r="L9" s="663">
        <f t="shared" si="4"/>
        <v>0</v>
      </c>
      <c r="M9" s="664">
        <f t="shared" si="5"/>
        <v>0</v>
      </c>
      <c r="N9" s="665">
        <f t="shared" si="6"/>
        <v>0</v>
      </c>
    </row>
    <row r="10" spans="1:14" ht="20.25">
      <c r="A10" s="1814"/>
      <c r="B10" s="1819" t="s">
        <v>185</v>
      </c>
      <c r="C10" s="1820">
        <v>2</v>
      </c>
      <c r="D10" s="1696"/>
      <c r="E10" s="1628">
        <f t="shared" si="0"/>
        <v>0</v>
      </c>
      <c r="F10" s="525"/>
      <c r="G10" s="1628">
        <f t="shared" si="1"/>
        <v>0</v>
      </c>
      <c r="H10" s="525"/>
      <c r="I10" s="1628">
        <f t="shared" si="2"/>
        <v>0</v>
      </c>
      <c r="J10" s="1697">
        <v>1.3</v>
      </c>
      <c r="K10" s="662">
        <f t="shared" si="3"/>
        <v>0.7</v>
      </c>
      <c r="L10" s="663">
        <f t="shared" si="4"/>
        <v>0</v>
      </c>
      <c r="M10" s="664">
        <f t="shared" si="5"/>
        <v>0</v>
      </c>
      <c r="N10" s="665">
        <f t="shared" si="6"/>
        <v>0</v>
      </c>
    </row>
    <row r="11" spans="1:14" ht="20.25">
      <c r="A11" s="1814"/>
      <c r="B11" s="1819" t="s">
        <v>186</v>
      </c>
      <c r="C11" s="1820">
        <v>2</v>
      </c>
      <c r="D11" s="1696"/>
      <c r="E11" s="1628">
        <f t="shared" si="0"/>
        <v>0</v>
      </c>
      <c r="F11" s="525"/>
      <c r="G11" s="1628">
        <f t="shared" si="1"/>
        <v>0</v>
      </c>
      <c r="H11" s="525"/>
      <c r="I11" s="1628">
        <f t="shared" si="2"/>
        <v>0</v>
      </c>
      <c r="J11" s="1697">
        <v>1.3</v>
      </c>
      <c r="K11" s="662">
        <f t="shared" si="3"/>
        <v>0.7</v>
      </c>
      <c r="L11" s="663">
        <f t="shared" si="4"/>
        <v>0</v>
      </c>
      <c r="M11" s="664">
        <f t="shared" si="5"/>
        <v>0</v>
      </c>
      <c r="N11" s="665">
        <f t="shared" si="6"/>
        <v>0</v>
      </c>
    </row>
    <row r="12" spans="1:14" ht="20.25">
      <c r="A12" s="1814"/>
      <c r="B12" s="1819" t="s">
        <v>563</v>
      </c>
      <c r="C12" s="1820">
        <v>2</v>
      </c>
      <c r="D12" s="1696"/>
      <c r="E12" s="1628">
        <f t="shared" si="0"/>
        <v>0</v>
      </c>
      <c r="F12" s="525"/>
      <c r="G12" s="1628">
        <f t="shared" si="1"/>
        <v>0</v>
      </c>
      <c r="H12" s="525"/>
      <c r="I12" s="1628">
        <f t="shared" si="2"/>
        <v>0</v>
      </c>
      <c r="J12" s="1697">
        <v>1.3</v>
      </c>
      <c r="K12" s="662">
        <f t="shared" si="3"/>
        <v>0.7</v>
      </c>
      <c r="L12" s="663">
        <f t="shared" si="4"/>
        <v>0</v>
      </c>
      <c r="M12" s="664">
        <f t="shared" si="5"/>
        <v>0</v>
      </c>
      <c r="N12" s="665">
        <f t="shared" si="6"/>
        <v>0</v>
      </c>
    </row>
    <row r="13" spans="1:14" ht="20.25">
      <c r="A13" s="1814"/>
      <c r="B13" s="1819" t="s">
        <v>716</v>
      </c>
      <c r="C13" s="1820">
        <v>2</v>
      </c>
      <c r="D13" s="1696"/>
      <c r="E13" s="1628">
        <f t="shared" si="0"/>
        <v>0</v>
      </c>
      <c r="F13" s="525"/>
      <c r="G13" s="1628">
        <f t="shared" si="1"/>
        <v>0</v>
      </c>
      <c r="H13" s="525"/>
      <c r="I13" s="1628">
        <f t="shared" si="2"/>
        <v>0</v>
      </c>
      <c r="J13" s="1697">
        <v>1.3</v>
      </c>
      <c r="K13" s="662">
        <f t="shared" si="3"/>
        <v>0.7</v>
      </c>
      <c r="L13" s="663">
        <f t="shared" si="4"/>
        <v>0</v>
      </c>
      <c r="M13" s="664">
        <f t="shared" si="5"/>
        <v>0</v>
      </c>
      <c r="N13" s="665">
        <f t="shared" si="6"/>
        <v>0</v>
      </c>
    </row>
    <row r="14" spans="1:14" ht="21">
      <c r="A14" s="1814"/>
      <c r="B14" s="1821" t="s">
        <v>564</v>
      </c>
      <c r="C14" s="1822">
        <v>2</v>
      </c>
      <c r="D14" s="1707"/>
      <c r="E14" s="1640">
        <f t="shared" si="0"/>
        <v>0</v>
      </c>
      <c r="F14" s="1317"/>
      <c r="G14" s="1640">
        <f t="shared" si="1"/>
        <v>0</v>
      </c>
      <c r="H14" s="1317"/>
      <c r="I14" s="1640">
        <f t="shared" si="2"/>
        <v>0</v>
      </c>
      <c r="J14" s="1708">
        <v>1.3</v>
      </c>
      <c r="K14" s="1080">
        <f t="shared" si="3"/>
        <v>0.7</v>
      </c>
      <c r="L14" s="902">
        <f t="shared" si="4"/>
        <v>0</v>
      </c>
      <c r="M14" s="914">
        <f t="shared" si="5"/>
        <v>0</v>
      </c>
      <c r="N14" s="915">
        <f t="shared" si="6"/>
        <v>0</v>
      </c>
    </row>
    <row r="15" spans="1:14" ht="21.75">
      <c r="A15" s="1823" t="s">
        <v>1171</v>
      </c>
      <c r="B15" s="1824" t="s">
        <v>744</v>
      </c>
      <c r="C15" s="1825">
        <v>15</v>
      </c>
      <c r="D15" s="1725"/>
      <c r="E15" s="1726">
        <f t="shared" si="0"/>
        <v>0</v>
      </c>
      <c r="F15" s="1468"/>
      <c r="G15" s="1726">
        <f t="shared" si="1"/>
        <v>0</v>
      </c>
      <c r="H15" s="1468"/>
      <c r="I15" s="1726">
        <f t="shared" si="2"/>
        <v>0</v>
      </c>
      <c r="J15" s="1727">
        <f>'[3]Commande Souvenirs, librairie'!F148</f>
        <v>0</v>
      </c>
      <c r="K15" s="1265">
        <f t="shared" si="3"/>
        <v>15</v>
      </c>
      <c r="L15" s="1464">
        <f t="shared" si="4"/>
        <v>0</v>
      </c>
      <c r="M15" s="1465">
        <f t="shared" si="5"/>
        <v>0</v>
      </c>
      <c r="N15" s="1466">
        <f t="shared" si="6"/>
        <v>0</v>
      </c>
    </row>
    <row r="16" spans="1:14" ht="21" customHeight="1">
      <c r="A16" s="1823" t="s">
        <v>205</v>
      </c>
      <c r="B16" s="1826" t="s">
        <v>1147</v>
      </c>
      <c r="C16" s="1818">
        <v>25</v>
      </c>
      <c r="D16" s="1688"/>
      <c r="E16" s="1636">
        <f t="shared" si="0"/>
        <v>0</v>
      </c>
      <c r="F16" s="1223"/>
      <c r="G16" s="1636">
        <f t="shared" si="1"/>
        <v>0</v>
      </c>
      <c r="H16" s="1223"/>
      <c r="I16" s="1636">
        <f t="shared" si="2"/>
        <v>0</v>
      </c>
      <c r="J16" s="1689">
        <f>'[3]Commande Souvenirs, librairie'!F159</f>
        <v>9</v>
      </c>
      <c r="K16" s="1206">
        <f t="shared" si="3"/>
        <v>16</v>
      </c>
      <c r="L16" s="1355">
        <f t="shared" si="4"/>
        <v>0</v>
      </c>
      <c r="M16" s="1356">
        <f t="shared" si="5"/>
        <v>0</v>
      </c>
      <c r="N16" s="804">
        <f t="shared" si="6"/>
        <v>0</v>
      </c>
    </row>
    <row r="17" spans="1:14" ht="20.25">
      <c r="A17" s="1823"/>
      <c r="B17" s="1827" t="s">
        <v>221</v>
      </c>
      <c r="C17" s="1820">
        <v>7.9</v>
      </c>
      <c r="D17" s="1696"/>
      <c r="E17" s="1628">
        <f t="shared" si="0"/>
        <v>0</v>
      </c>
      <c r="F17" s="525"/>
      <c r="G17" s="1628">
        <f t="shared" si="1"/>
        <v>0</v>
      </c>
      <c r="H17" s="525"/>
      <c r="I17" s="1628">
        <f t="shared" si="2"/>
        <v>0</v>
      </c>
      <c r="J17" s="1697">
        <f>'[3]Commande Souvenirs, librairie'!F170</f>
        <v>13.9682</v>
      </c>
      <c r="K17" s="662">
        <f t="shared" si="3"/>
        <v>-6.068199999999999</v>
      </c>
      <c r="L17" s="663">
        <f t="shared" si="4"/>
        <v>0</v>
      </c>
      <c r="M17" s="664">
        <f t="shared" si="5"/>
        <v>0</v>
      </c>
      <c r="N17" s="665">
        <f t="shared" si="6"/>
        <v>0</v>
      </c>
    </row>
    <row r="18" spans="1:14" ht="28.5">
      <c r="A18" s="1823"/>
      <c r="B18" s="1828" t="s">
        <v>1172</v>
      </c>
      <c r="C18" s="1820">
        <v>15</v>
      </c>
      <c r="D18" s="1696"/>
      <c r="E18" s="1628">
        <f t="shared" si="0"/>
        <v>0</v>
      </c>
      <c r="F18" s="525"/>
      <c r="G18" s="1628">
        <f t="shared" si="1"/>
        <v>0</v>
      </c>
      <c r="H18" s="525"/>
      <c r="I18" s="1628">
        <f t="shared" si="2"/>
        <v>0</v>
      </c>
      <c r="J18" s="1697">
        <f>'[3]Commande Souvenirs, librairie'!F160</f>
        <v>9</v>
      </c>
      <c r="K18" s="662">
        <f t="shared" si="3"/>
        <v>6</v>
      </c>
      <c r="L18" s="663">
        <f t="shared" si="4"/>
        <v>0</v>
      </c>
      <c r="M18" s="664">
        <f t="shared" si="5"/>
        <v>0</v>
      </c>
      <c r="N18" s="665">
        <f t="shared" si="6"/>
        <v>0</v>
      </c>
    </row>
    <row r="19" spans="1:14" ht="21">
      <c r="A19" s="1823"/>
      <c r="B19" s="1829" t="s">
        <v>1173</v>
      </c>
      <c r="C19" s="1822">
        <v>15</v>
      </c>
      <c r="D19" s="1707"/>
      <c r="E19" s="1640">
        <f t="shared" si="0"/>
        <v>0</v>
      </c>
      <c r="F19" s="1317"/>
      <c r="G19" s="1640">
        <f t="shared" si="1"/>
        <v>0</v>
      </c>
      <c r="H19" s="1317"/>
      <c r="I19" s="1640">
        <f t="shared" si="2"/>
        <v>0</v>
      </c>
      <c r="J19" s="1708">
        <f>'[3]Commande Souvenirs, librairie'!F161</f>
        <v>4.19</v>
      </c>
      <c r="K19" s="1080">
        <f t="shared" si="3"/>
        <v>10.809999999999999</v>
      </c>
      <c r="L19" s="902">
        <f t="shared" si="4"/>
        <v>0</v>
      </c>
      <c r="M19" s="914">
        <f t="shared" si="5"/>
        <v>0</v>
      </c>
      <c r="N19" s="915">
        <f t="shared" si="6"/>
        <v>0</v>
      </c>
    </row>
    <row r="20" spans="1:14" ht="21.75">
      <c r="A20" s="1800"/>
      <c r="B20" s="1830" t="s">
        <v>618</v>
      </c>
      <c r="C20" s="1831"/>
      <c r="D20" s="947">
        <f>SUM(D5:D19)</f>
        <v>0</v>
      </c>
      <c r="E20" s="945">
        <f>SUM(E5:E19)</f>
        <v>0</v>
      </c>
      <c r="F20" s="946">
        <f>SUM(F5:F19)</f>
        <v>0</v>
      </c>
      <c r="G20" s="1769">
        <f>SUM(G5:G19)</f>
        <v>0</v>
      </c>
      <c r="H20" s="946">
        <f>SUM(H5:H19)</f>
        <v>0</v>
      </c>
      <c r="I20" s="945">
        <f>SUM(I5:I19)</f>
        <v>0</v>
      </c>
      <c r="J20" s="1770"/>
      <c r="K20" s="1771"/>
      <c r="L20" s="899">
        <f>SUM(L5:L19)</f>
        <v>0</v>
      </c>
      <c r="M20" s="1475">
        <f t="shared" si="5"/>
        <v>0</v>
      </c>
      <c r="N20" s="1476">
        <f t="shared" si="6"/>
        <v>0</v>
      </c>
    </row>
    <row r="21" spans="1:9" ht="15.75">
      <c r="A21" s="961"/>
      <c r="D21" s="1673" t="s">
        <v>480</v>
      </c>
      <c r="E21" s="329"/>
      <c r="F21" s="329" t="s">
        <v>7</v>
      </c>
      <c r="G21" s="329"/>
      <c r="H21" s="1673" t="s">
        <v>8</v>
      </c>
      <c r="I21" s="329"/>
    </row>
  </sheetData>
  <sheetProtection selectLockedCells="1" selectUnlockedCells="1"/>
  <mergeCells count="6">
    <mergeCell ref="A3:B3"/>
    <mergeCell ref="D3:E3"/>
    <mergeCell ref="F3:G3"/>
    <mergeCell ref="H3:I3"/>
    <mergeCell ref="A6:A14"/>
    <mergeCell ref="A16:A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K42" sqref="K42"/>
    </sheetView>
  </sheetViews>
  <sheetFormatPr defaultColWidth="9.140625" defaultRowHeight="12.75"/>
  <cols>
    <col min="1" max="1" width="11.00390625" style="0" customWidth="1"/>
    <col min="2" max="2" width="18.57421875" style="0" customWidth="1"/>
    <col min="3" max="3" width="16.28125" style="0" customWidth="1"/>
    <col min="4" max="4" width="15.28125" style="0" customWidth="1"/>
    <col min="5" max="5" width="14.8515625" style="0" customWidth="1"/>
    <col min="6" max="6" width="16.7109375" style="0" customWidth="1"/>
    <col min="7" max="7" width="15.28125" style="0" customWidth="1"/>
    <col min="8" max="8" width="17.28125" style="0" customWidth="1"/>
    <col min="9" max="9" width="17.140625" style="0" customWidth="1"/>
    <col min="10" max="11" width="18.00390625" style="0" customWidth="1"/>
    <col min="12" max="12" width="11.00390625" style="0" customWidth="1"/>
    <col min="13" max="13" width="14.28125" style="0" customWidth="1"/>
    <col min="14" max="16384" width="11.00390625" style="0" customWidth="1"/>
  </cols>
  <sheetData>
    <row r="1" spans="2:12" ht="27.75">
      <c r="B1" s="1832">
        <v>2021</v>
      </c>
      <c r="C1" s="1833" t="s">
        <v>516</v>
      </c>
      <c r="D1" s="1833"/>
      <c r="E1" s="1833"/>
      <c r="F1" s="1833"/>
      <c r="G1" s="1833"/>
      <c r="H1" s="1833"/>
      <c r="I1" s="1833"/>
      <c r="J1" s="1833"/>
      <c r="K1" s="1833"/>
      <c r="L1" s="1833"/>
    </row>
    <row r="2" spans="1:12" ht="22.5">
      <c r="A2" s="1834"/>
      <c r="B2" s="1835"/>
      <c r="C2" s="1836">
        <v>2013</v>
      </c>
      <c r="D2" s="1837">
        <v>2014</v>
      </c>
      <c r="E2" s="1838">
        <v>2015</v>
      </c>
      <c r="F2" s="1839">
        <v>2016</v>
      </c>
      <c r="G2" s="1840">
        <v>2017</v>
      </c>
      <c r="H2" s="1841">
        <v>2018</v>
      </c>
      <c r="I2" s="1842">
        <v>2019</v>
      </c>
      <c r="J2" s="1842">
        <v>2020</v>
      </c>
      <c r="K2" s="1842">
        <v>2021</v>
      </c>
      <c r="L2" s="1843" t="s">
        <v>1174</v>
      </c>
    </row>
    <row r="3" spans="1:12" ht="18">
      <c r="A3" s="1844"/>
      <c r="B3" s="1845"/>
      <c r="C3" s="1845"/>
      <c r="D3" s="1846"/>
      <c r="E3" s="1847"/>
      <c r="F3" s="1847"/>
      <c r="G3" s="1847"/>
      <c r="H3" s="1847"/>
      <c r="I3" s="1847"/>
      <c r="J3" s="1847"/>
      <c r="K3" s="1847"/>
      <c r="L3" s="1848"/>
    </row>
    <row r="4" spans="1:12" ht="18.75" customHeight="1">
      <c r="A4" s="1849" t="s">
        <v>0</v>
      </c>
      <c r="B4" s="1850" t="s">
        <v>26</v>
      </c>
      <c r="C4" s="1851">
        <f>'[4]Ventes'!$E$74</f>
        <v>17</v>
      </c>
      <c r="D4" s="1852">
        <f>'[5]Ventes'!$E$119</f>
        <v>58</v>
      </c>
      <c r="E4" s="1852">
        <f>'[6]Bilan'!$E$5</f>
        <v>31</v>
      </c>
      <c r="F4" s="1852">
        <f>'[7]Ventes'!$E$152</f>
        <v>50</v>
      </c>
      <c r="G4" s="1853">
        <v>28</v>
      </c>
      <c r="H4" s="1853">
        <f>'[8]Bilan'!$H$5</f>
        <v>91</v>
      </c>
      <c r="I4" s="1853">
        <v>63</v>
      </c>
      <c r="J4" s="1854">
        <f>'Ventes St Sever'!F253+'Ventes Hagetmau'!E108</f>
        <v>33</v>
      </c>
      <c r="K4" s="1854">
        <f>'Ventes St Sever'!F253+'Ventes Hagetmau'!E108+'Ventes Amou'!E167</f>
        <v>41</v>
      </c>
      <c r="L4" s="1855"/>
    </row>
    <row r="5" spans="1:12" ht="18.75">
      <c r="A5" s="1849"/>
      <c r="B5" s="1850" t="s">
        <v>1175</v>
      </c>
      <c r="C5" s="1856">
        <f>'[4]Ventes'!$F$74</f>
        <v>63.4</v>
      </c>
      <c r="D5" s="1857">
        <f>'[5]Ventes'!$F$119</f>
        <v>223.25</v>
      </c>
      <c r="E5" s="1857">
        <f>'[6]Bilan'!$E$6</f>
        <v>136.7</v>
      </c>
      <c r="F5" s="1857">
        <f>'[7]Ventes'!$F$152</f>
        <v>326.99999999999994</v>
      </c>
      <c r="G5" s="1858">
        <v>112.15</v>
      </c>
      <c r="H5" s="1858">
        <f>'[8]Bilan'!$H$6</f>
        <v>332.35</v>
      </c>
      <c r="I5" s="1858">
        <v>568.75</v>
      </c>
      <c r="J5" s="1858">
        <f>'Ventes Hagetmau'!F108+'Ventes St Sever'!G253</f>
        <v>107.30000000000001</v>
      </c>
      <c r="K5" s="1858">
        <f>'Ventes Hagetmau'!F108+'Ventes St Sever'!G253+'Ventes Amou'!F167</f>
        <v>123.30000000000001</v>
      </c>
      <c r="L5" s="1859">
        <f>K5-J5</f>
        <v>16</v>
      </c>
    </row>
    <row r="6" spans="1:12" ht="18.75">
      <c r="A6" s="1860"/>
      <c r="B6" s="1850"/>
      <c r="C6" s="1851"/>
      <c r="D6" s="1852"/>
      <c r="E6" s="1852"/>
      <c r="F6" s="1852"/>
      <c r="G6" s="1853"/>
      <c r="H6" s="1853"/>
      <c r="I6" s="1853"/>
      <c r="J6" s="1853"/>
      <c r="K6" s="1853"/>
      <c r="L6" s="1861"/>
    </row>
    <row r="7" spans="1:13" ht="18.75" customHeight="1">
      <c r="A7" s="1849" t="s">
        <v>1</v>
      </c>
      <c r="B7" s="1850" t="s">
        <v>26</v>
      </c>
      <c r="C7" s="1851">
        <f>'[4]Ventes'!$H$74</f>
        <v>20</v>
      </c>
      <c r="D7" s="1852">
        <f>'[5]Ventes'!$H$119</f>
        <v>24</v>
      </c>
      <c r="E7" s="1852">
        <f>'[6]Bilan'!$E$8</f>
        <v>24</v>
      </c>
      <c r="F7" s="1852">
        <f>'[7]Ventes'!$G$152</f>
        <v>47</v>
      </c>
      <c r="G7" s="1853">
        <v>87</v>
      </c>
      <c r="H7" s="1853">
        <f>'[8]Bilan'!$H$8</f>
        <v>62</v>
      </c>
      <c r="I7" s="1854">
        <v>54</v>
      </c>
      <c r="J7" s="1854">
        <f>'Ventes St Sever'!H253+'Ventes Hagetmau'!G108</f>
        <v>81</v>
      </c>
      <c r="K7" s="1854">
        <f>'Ventes Hagetmau'!G108+'Ventes St Sever'!H253+'Ventes Amou'!G167</f>
        <v>91</v>
      </c>
      <c r="L7" s="1862"/>
      <c r="M7" s="1863"/>
    </row>
    <row r="8" spans="1:14" ht="18.75">
      <c r="A8" s="1849"/>
      <c r="B8" s="1850" t="s">
        <v>1175</v>
      </c>
      <c r="C8" s="1856">
        <f>'[4]Ventes'!$I$74</f>
        <v>66.2</v>
      </c>
      <c r="D8" s="1857">
        <f>'[5]Ventes'!$I$119</f>
        <v>80.2</v>
      </c>
      <c r="E8" s="1857">
        <f>'[6]Bilan'!$E$9</f>
        <v>71.1</v>
      </c>
      <c r="F8" s="1857">
        <f>'[7]Ventes'!$H$152</f>
        <v>213</v>
      </c>
      <c r="G8" s="1858">
        <v>539.9</v>
      </c>
      <c r="H8" s="1858">
        <f>'[8]Bilan'!$H$9</f>
        <v>304.85</v>
      </c>
      <c r="I8" s="1858">
        <v>582.2</v>
      </c>
      <c r="J8" s="1858">
        <f>'Ventes Hagetmau'!H108+'Ventes St Sever'!I253</f>
        <v>389.20000000000005</v>
      </c>
      <c r="K8" s="1858">
        <f>'Ventes Amou'!H167+'Ventes St Sever'!I253+'Ventes Hagetmau'!H108</f>
        <v>422.95000000000005</v>
      </c>
      <c r="L8" s="1859">
        <f>K8-J8</f>
        <v>33.75</v>
      </c>
      <c r="N8" s="307"/>
    </row>
    <row r="9" spans="1:12" ht="18.75">
      <c r="A9" s="1860"/>
      <c r="B9" s="1850"/>
      <c r="C9" s="1851"/>
      <c r="D9" s="1852"/>
      <c r="E9" s="1852"/>
      <c r="F9" s="1852"/>
      <c r="G9" s="1853"/>
      <c r="H9" s="1853"/>
      <c r="I9" s="1853"/>
      <c r="J9" s="1853"/>
      <c r="K9" s="1853"/>
      <c r="L9" s="1861"/>
    </row>
    <row r="10" spans="1:12" ht="18.75" customHeight="1">
      <c r="A10" s="1849" t="s">
        <v>2</v>
      </c>
      <c r="B10" s="1850" t="s">
        <v>26</v>
      </c>
      <c r="C10" s="1851">
        <f>'[4]Ventes'!$K$74</f>
        <v>14</v>
      </c>
      <c r="D10" s="1852">
        <f>'[5]Ventes'!$K$119</f>
        <v>24</v>
      </c>
      <c r="E10" s="1852">
        <f>'[6]Bilan'!$E$11</f>
        <v>56</v>
      </c>
      <c r="F10" s="1852">
        <f>'[7]Ventes'!$I$152</f>
        <v>80</v>
      </c>
      <c r="G10" s="1853">
        <v>96</v>
      </c>
      <c r="H10" s="1853">
        <f>'[8]Bilan'!$H$11</f>
        <v>162</v>
      </c>
      <c r="I10" s="1854">
        <v>82</v>
      </c>
      <c r="J10" s="1854">
        <f>'Ventes Hagetmau'!I108+'Ventes St Sever'!J253</f>
        <v>74</v>
      </c>
      <c r="K10" s="1854">
        <f>'Ventes Amou'!I167+'Ventes St Sever'!J253+'Ventes Hagetmau'!I108</f>
        <v>88</v>
      </c>
      <c r="L10" s="1862"/>
    </row>
    <row r="11" spans="1:12" ht="18.75">
      <c r="A11" s="1849"/>
      <c r="B11" s="1850" t="s">
        <v>1175</v>
      </c>
      <c r="C11" s="1856">
        <f>'[4]Ventes'!$L$74</f>
        <v>66.8</v>
      </c>
      <c r="D11" s="1857">
        <f>'[5]Ventes'!$L$119</f>
        <v>110.69999999999999</v>
      </c>
      <c r="E11" s="1857">
        <f>'[6]Bilan'!$E$12</f>
        <v>196.4</v>
      </c>
      <c r="F11" s="1857">
        <f>'[7]Ventes'!$J$152</f>
        <v>309.70000000000005</v>
      </c>
      <c r="G11" s="1858">
        <v>650.25</v>
      </c>
      <c r="H11" s="1858">
        <f>'[8]Bilan'!$H$12</f>
        <v>1051.4</v>
      </c>
      <c r="I11" s="1858">
        <v>1266</v>
      </c>
      <c r="J11" s="1858">
        <f>'Ventes St Sever'!K253+'Ventes Hagetmau'!J108</f>
        <v>388.4</v>
      </c>
      <c r="K11" s="1858">
        <f>'Ventes Amou'!J167+'Ventes St Sever'!K253+'Ventes Hagetmau'!J108</f>
        <v>435.4</v>
      </c>
      <c r="L11" s="1859">
        <f>K11-J11</f>
        <v>47</v>
      </c>
    </row>
    <row r="12" spans="1:12" ht="18.75">
      <c r="A12" s="1860"/>
      <c r="B12" s="1850"/>
      <c r="C12" s="1851"/>
      <c r="D12" s="1852"/>
      <c r="E12" s="1852"/>
      <c r="F12" s="1852"/>
      <c r="G12" s="1853"/>
      <c r="H12" s="1853"/>
      <c r="I12" s="1853"/>
      <c r="J12" s="1853"/>
      <c r="K12" s="1853"/>
      <c r="L12" s="1861"/>
    </row>
    <row r="13" spans="1:12" ht="18.75" customHeight="1">
      <c r="A13" s="1849" t="s">
        <v>3</v>
      </c>
      <c r="B13" s="1850" t="s">
        <v>26</v>
      </c>
      <c r="C13" s="1851">
        <f>'[4]Ventes'!$N$74</f>
        <v>27</v>
      </c>
      <c r="D13" s="1852">
        <f>'[5]Ventes'!$N$119</f>
        <v>46</v>
      </c>
      <c r="E13" s="1852">
        <f>'[6]Bilan'!$E$14</f>
        <v>93</v>
      </c>
      <c r="F13" s="1852">
        <f>'[7]Ventes'!$K$152</f>
        <v>87</v>
      </c>
      <c r="G13" s="1853">
        <v>103</v>
      </c>
      <c r="H13" s="1853">
        <f>'[8]Bilan'!$H$14</f>
        <v>64</v>
      </c>
      <c r="I13" s="1854">
        <v>147</v>
      </c>
      <c r="J13" s="1854">
        <f>'Ventes Hagetmau'!K108+'Ventes St Sever'!L253</f>
        <v>18</v>
      </c>
      <c r="K13" s="1854">
        <f>'Ventes Hagetmau'!K108+'Ventes St Sever'!L253+'Ventes Amou'!K167</f>
        <v>27</v>
      </c>
      <c r="L13" s="1862"/>
    </row>
    <row r="14" spans="1:12" ht="18.75">
      <c r="A14" s="1849"/>
      <c r="B14" s="1850" t="s">
        <v>1175</v>
      </c>
      <c r="C14" s="1856">
        <f>'[4]Ventes'!$O$74</f>
        <v>35.800000000000004</v>
      </c>
      <c r="D14" s="1857">
        <f>'[5]Ventes'!$O$119</f>
        <v>199.45</v>
      </c>
      <c r="E14" s="1857">
        <f>'[6]Bilan'!$E$15</f>
        <v>395.2</v>
      </c>
      <c r="F14" s="1857">
        <f>'[7]Ventes'!$L$152</f>
        <v>399.95</v>
      </c>
      <c r="G14" s="1858">
        <v>468.5</v>
      </c>
      <c r="H14" s="1858">
        <f>'[8]Bilan'!$H$15</f>
        <v>582.05</v>
      </c>
      <c r="I14" s="1858">
        <v>966.3</v>
      </c>
      <c r="J14" s="1858">
        <f>'Ventes St Sever'!M253+'Ventes Hagetmau'!L108</f>
        <v>150</v>
      </c>
      <c r="K14" s="1858">
        <f>'Ventes Amou'!L167+'Ventes St Sever'!M253+'Ventes Hagetmau'!L108</f>
        <v>170.9</v>
      </c>
      <c r="L14" s="1859">
        <f>K14-J14</f>
        <v>20.900000000000006</v>
      </c>
    </row>
    <row r="15" spans="1:12" ht="18.75">
      <c r="A15" s="1860"/>
      <c r="B15" s="1850"/>
      <c r="C15" s="1851"/>
      <c r="D15" s="1852"/>
      <c r="E15" s="1852"/>
      <c r="F15" s="1852"/>
      <c r="G15" s="1853"/>
      <c r="H15" s="1853"/>
      <c r="I15" s="1853"/>
      <c r="J15" s="1853"/>
      <c r="K15" s="1853"/>
      <c r="L15" s="1861"/>
    </row>
    <row r="16" spans="1:12" ht="18.75" customHeight="1">
      <c r="A16" s="1849" t="s">
        <v>4</v>
      </c>
      <c r="B16" s="1850" t="s">
        <v>26</v>
      </c>
      <c r="C16" s="1851">
        <f>'[4]Ventes'!$Q$74</f>
        <v>50</v>
      </c>
      <c r="D16" s="1852">
        <f>'[5]Ventes'!$Q$119</f>
        <v>68</v>
      </c>
      <c r="E16" s="1852">
        <f>'[6]Bilan'!$E$17</f>
        <v>166</v>
      </c>
      <c r="F16" s="1852">
        <f>'[7]Ventes'!$M$152</f>
        <v>107</v>
      </c>
      <c r="G16" s="1853">
        <v>100</v>
      </c>
      <c r="H16" s="1853">
        <f>'[8]Bilan'!$H$17</f>
        <v>253</v>
      </c>
      <c r="I16" s="1853">
        <v>172</v>
      </c>
      <c r="J16" s="1853">
        <f>'Ventes St Sever'!N253+'Ventes Hagetmau'!M108</f>
        <v>88</v>
      </c>
      <c r="K16" s="1853">
        <f>'Ventes Amou'!M167+'Ventes St Sever'!N253+'Ventes Hagetmau'!M108</f>
        <v>100</v>
      </c>
      <c r="L16" s="1862"/>
    </row>
    <row r="17" spans="1:12" ht="18.75">
      <c r="A17" s="1849"/>
      <c r="B17" s="1850" t="s">
        <v>1175</v>
      </c>
      <c r="C17" s="1856">
        <f>'[4]Ventes'!$R$74</f>
        <v>73.5</v>
      </c>
      <c r="D17" s="1857">
        <f>'[5]Ventes'!$R$119</f>
        <v>311.24999999999994</v>
      </c>
      <c r="E17" s="1857">
        <f>'[6]Bilan'!$E$18</f>
        <v>673.85</v>
      </c>
      <c r="F17" s="1857">
        <f>'[7]Ventes'!$N$152</f>
        <v>496.05</v>
      </c>
      <c r="G17" s="1858">
        <v>611.8</v>
      </c>
      <c r="H17" s="1858">
        <f>'[8]Bilan'!$H$18</f>
        <v>1072.3500000000001</v>
      </c>
      <c r="I17" s="1858">
        <v>781.7</v>
      </c>
      <c r="J17" s="1858">
        <f>'Ventes Hagetmau'!N108+'Ventes St Sever'!O253</f>
        <v>338</v>
      </c>
      <c r="K17" s="1858">
        <f>'Ventes Amou'!N167+'Ventes St Sever'!O253+'Ventes Hagetmau'!N108</f>
        <v>391</v>
      </c>
      <c r="L17" s="1859">
        <f>K17-J17</f>
        <v>53</v>
      </c>
    </row>
    <row r="18" spans="1:12" ht="18.75">
      <c r="A18" s="1860"/>
      <c r="B18" s="1850"/>
      <c r="C18" s="1851"/>
      <c r="D18" s="1852"/>
      <c r="E18" s="1852"/>
      <c r="F18" s="1852"/>
      <c r="G18" s="1853"/>
      <c r="H18" s="1853"/>
      <c r="I18" s="1853"/>
      <c r="J18" s="1853"/>
      <c r="K18" s="1853"/>
      <c r="L18" s="1861"/>
    </row>
    <row r="19" spans="1:12" ht="18.75" customHeight="1">
      <c r="A19" s="1849" t="s">
        <v>5</v>
      </c>
      <c r="B19" s="1850" t="s">
        <v>26</v>
      </c>
      <c r="C19" s="1851">
        <f>'[4]Ventes'!$T$74</f>
        <v>55</v>
      </c>
      <c r="D19" s="1852">
        <f>'[5]Ventes'!$T$119</f>
        <v>120</v>
      </c>
      <c r="E19" s="1852">
        <f>'[6]Bilan'!$E$20</f>
        <v>147</v>
      </c>
      <c r="F19" s="1852">
        <f>'[7]Ventes'!$O$152</f>
        <v>135</v>
      </c>
      <c r="G19" s="1853">
        <v>177</v>
      </c>
      <c r="H19" s="1853">
        <f>'[8]Bilan'!$H$20</f>
        <v>210</v>
      </c>
      <c r="I19" s="1853">
        <v>180</v>
      </c>
      <c r="J19" s="1853">
        <f>'Ventes St Sever'!P253+'Ventes Hagetmau'!O108</f>
        <v>79</v>
      </c>
      <c r="K19" s="1853">
        <f>'Ventes Hagetmau'!O108+'Ventes St Sever'!P253+'Ventes Amou'!O167+'Ventes Samadet'!D86</f>
        <v>98</v>
      </c>
      <c r="L19" s="1862"/>
    </row>
    <row r="20" spans="1:14" ht="18.75" customHeight="1">
      <c r="A20" s="1849"/>
      <c r="B20" s="1850" t="s">
        <v>1175</v>
      </c>
      <c r="C20" s="1856">
        <f>'[4]Ventes'!$U$74</f>
        <v>172.89999999999998</v>
      </c>
      <c r="D20" s="1857">
        <f>'[5]Ventes'!$U$119</f>
        <v>488.4</v>
      </c>
      <c r="E20" s="1857">
        <f>'[6]Bilan'!$E$21</f>
        <v>770.3999999999999</v>
      </c>
      <c r="F20" s="1857">
        <f>'[7]Ventes'!$P$152</f>
        <v>634.8</v>
      </c>
      <c r="G20" s="1858">
        <v>935.1</v>
      </c>
      <c r="H20" s="1858">
        <f>'[8]Bilan'!$H$21</f>
        <v>904.8499999999999</v>
      </c>
      <c r="I20" s="1858">
        <v>841.65</v>
      </c>
      <c r="J20" s="1858">
        <f>'Ventes Hagetmau'!P108+'Ventes St Sever'!Q253</f>
        <v>612.4</v>
      </c>
      <c r="K20" s="1858">
        <f>'Ventes Amou'!P167+'Ventes St Sever'!Q253+'Ventes Hagetmau'!P108+'Ventes Samadet'!E86</f>
        <v>689.4</v>
      </c>
      <c r="L20" s="1859">
        <f>J20-I20</f>
        <v>-229.25</v>
      </c>
      <c r="N20" s="1864"/>
    </row>
    <row r="21" spans="1:14" ht="37.5" customHeight="1">
      <c r="A21" s="1860"/>
      <c r="B21" s="1850"/>
      <c r="C21" s="1851"/>
      <c r="D21" s="1852"/>
      <c r="E21" s="1852"/>
      <c r="F21" s="1852"/>
      <c r="G21" s="1865"/>
      <c r="H21" s="1866"/>
      <c r="I21" s="1867" t="s">
        <v>1176</v>
      </c>
      <c r="J21" s="1867" t="s">
        <v>1176</v>
      </c>
      <c r="K21" s="1868"/>
      <c r="L21" s="1869"/>
      <c r="N21" s="1864"/>
    </row>
    <row r="22" spans="1:14" ht="18.75" customHeight="1">
      <c r="A22" s="1849" t="s">
        <v>6</v>
      </c>
      <c r="B22" s="1850" t="s">
        <v>26</v>
      </c>
      <c r="C22" s="1851">
        <f>'[4]Ventes'!$W$74</f>
        <v>132</v>
      </c>
      <c r="D22" s="1852">
        <f>'[5]Ventes'!$W$119</f>
        <v>188</v>
      </c>
      <c r="E22" s="1852">
        <f>'[6]Bilan'!$E$23</f>
        <v>157</v>
      </c>
      <c r="F22" s="1852">
        <f>'[7]Ventes'!$Q$152</f>
        <v>300</v>
      </c>
      <c r="G22" s="1853">
        <v>457</v>
      </c>
      <c r="H22" s="1853">
        <f>'[8]Bilan'!$H$23</f>
        <v>482</v>
      </c>
      <c r="I22" s="1853">
        <v>391</v>
      </c>
      <c r="J22" s="1853">
        <f>'Ventes Hagetmau'!Q108+'Ventes St Sever'!R253+'Ventes Musée'!D71+'Ventes Samadet'!D86+'Ventes Crypte'!D19+'Ventes Cave Geaune'!D20</f>
        <v>14</v>
      </c>
      <c r="K22" s="1853">
        <f>'Ventes Hagetmau'!Q108+'Ventes St Sever'!R253+'Ventes Amou'!Q167+'Ventes Musée'!D71+'Ventes Samadet'!F86+'Ventes Crypte'!D19+'Ventes Cave Geaune'!D20</f>
        <v>14</v>
      </c>
      <c r="L22" s="1862"/>
      <c r="N22" s="1864"/>
    </row>
    <row r="23" spans="1:14" ht="18.75">
      <c r="A23" s="1849"/>
      <c r="B23" s="1850" t="s">
        <v>1175</v>
      </c>
      <c r="C23" s="1856">
        <f>'[4]Ventes'!$X$74</f>
        <v>538.25</v>
      </c>
      <c r="D23" s="1857">
        <f>'[5]Ventes'!$X$119</f>
        <v>907.6999999999999</v>
      </c>
      <c r="E23" s="1857">
        <f>'[6]Bilan'!$E$24</f>
        <v>775.1499999999997</v>
      </c>
      <c r="F23" s="1857">
        <f>'[7]Ventes'!$R$152</f>
        <v>1543.7</v>
      </c>
      <c r="G23" s="1858">
        <v>1864.15</v>
      </c>
      <c r="H23" s="1858">
        <f>'[8]Bilan'!$H$24</f>
        <v>1877.5500000000002</v>
      </c>
      <c r="I23" s="1858">
        <v>2072.9</v>
      </c>
      <c r="J23" s="1858">
        <f>SUM('Ventes Hagetmau'!R108+'Ventes St Sever'!S253+'Ventes Musée'!E71+'Ventes Samadet'!E86+'Ventes Crypte'!E19)</f>
        <v>73.8</v>
      </c>
      <c r="K23" s="1858">
        <f>'Ventes Cave Geaune'!E20+'Ventes Crypte'!E19+'Ventes Samadet'!G86+'Ventes Musée'!E71+'Ventes Amou'!R167+'Ventes St Sever'!S253+'Ventes Hagetmau'!R108</f>
        <v>73.8</v>
      </c>
      <c r="L23" s="1859">
        <f>K23-J23</f>
        <v>0</v>
      </c>
      <c r="N23" s="1864"/>
    </row>
    <row r="24" spans="1:12" ht="18.75">
      <c r="A24" s="1860"/>
      <c r="B24" s="1850"/>
      <c r="C24" s="1851"/>
      <c r="D24" s="1852"/>
      <c r="E24" s="1852"/>
      <c r="F24" s="1852"/>
      <c r="G24" s="1853"/>
      <c r="H24" s="1853"/>
      <c r="I24" s="1853"/>
      <c r="J24" s="1853"/>
      <c r="K24" s="1853"/>
      <c r="L24" s="1861"/>
    </row>
    <row r="25" spans="1:12" ht="18.75" customHeight="1">
      <c r="A25" s="1849" t="s">
        <v>150</v>
      </c>
      <c r="B25" s="1850" t="s">
        <v>26</v>
      </c>
      <c r="C25" s="1851">
        <f>'[4]Ventes'!$Z$74</f>
        <v>230</v>
      </c>
      <c r="D25" s="1852">
        <f>'[5]Ventes'!$Z$119</f>
        <v>370</v>
      </c>
      <c r="E25" s="1852">
        <f>'[6]Bilan'!$E$26</f>
        <v>240</v>
      </c>
      <c r="F25" s="1852">
        <f>'[7]Ventes'!$S$152</f>
        <v>331</v>
      </c>
      <c r="G25" s="1853">
        <v>628</v>
      </c>
      <c r="H25" s="1853">
        <f>'[8]Bilan'!$H$26</f>
        <v>661</v>
      </c>
      <c r="I25" s="1853">
        <v>606</v>
      </c>
      <c r="J25" s="1853">
        <f>'Ventes Hagetmau'!S108+'Ventes St Sever'!T253+'Ventes Musée'!F71+'Ventes Samadet'!F86+'Ventes Crypte'!F19+'Ventes Samadet'!H86</f>
        <v>0</v>
      </c>
      <c r="K25" s="1853">
        <f>'Ventes Hagetmau'!S108+'Ventes St Sever'!T253+'Ventes Amou'!S167+'Ventes Musée'!F71+'Ventes Samadet'!H86+'Ventes Crypte'!F19+'Ventes Cave Geaune'!F20</f>
        <v>0</v>
      </c>
      <c r="L25" s="1862"/>
    </row>
    <row r="26" spans="1:14" ht="18.75">
      <c r="A26" s="1849"/>
      <c r="B26" s="1850" t="s">
        <v>1175</v>
      </c>
      <c r="C26" s="1856">
        <f>'[4]Ventes'!$AA$74</f>
        <v>717.15</v>
      </c>
      <c r="D26" s="1857">
        <f>'[5]Ventes'!$AA$119</f>
        <v>1621.8000000000004</v>
      </c>
      <c r="E26" s="1857">
        <f>'[6]Bilan'!$E$27</f>
        <v>988.5999999999999</v>
      </c>
      <c r="F26" s="1857">
        <f>'[7]Ventes'!$T$152</f>
        <v>1650.1000000000001</v>
      </c>
      <c r="G26" s="1858">
        <v>2261.2</v>
      </c>
      <c r="H26" s="1858">
        <f>'[8]Bilan'!$H$27</f>
        <v>2420.65</v>
      </c>
      <c r="I26" s="1858">
        <v>2798.05</v>
      </c>
      <c r="J26" s="1858">
        <f>'Ventes Hagetmau'!T108+'Ventes St Sever'!U253+'Ventes Musée'!G71+'Ventes Samadet'!G86+'Ventes Crypte'!G19+'Ventes Cave Geaune'!G20+'Ventes Samadet'!I86</f>
        <v>0</v>
      </c>
      <c r="K26" s="1858">
        <f>'Ventes Cave Geaune'!G20+'Ventes Crypte'!G19+'Ventes Samadet'!I86+'Ventes Musée'!G71+'Ventes Amou'!T167+'Ventes St Sever'!U253+'Ventes Hagetmau'!T108</f>
        <v>0</v>
      </c>
      <c r="L26" s="1859">
        <f>K26-J26</f>
        <v>0</v>
      </c>
      <c r="M26" s="307"/>
      <c r="N26" s="307"/>
    </row>
    <row r="27" spans="1:12" ht="18.75">
      <c r="A27" s="1860"/>
      <c r="B27" s="1850"/>
      <c r="C27" s="1851"/>
      <c r="D27" s="1852"/>
      <c r="E27" s="1852"/>
      <c r="F27" s="1852"/>
      <c r="G27" s="1853"/>
      <c r="H27" s="1853"/>
      <c r="I27" s="1853"/>
      <c r="J27" s="1853"/>
      <c r="K27" s="1853"/>
      <c r="L27" s="1861"/>
    </row>
    <row r="28" spans="1:12" ht="18.75" customHeight="1">
      <c r="A28" s="1849" t="s">
        <v>8</v>
      </c>
      <c r="B28" s="1850" t="s">
        <v>26</v>
      </c>
      <c r="C28" s="1851">
        <f>'[4]Ventes'!$AC$74</f>
        <v>92</v>
      </c>
      <c r="D28" s="1852">
        <f>'[5]Ventes'!$AC$119</f>
        <v>81</v>
      </c>
      <c r="E28" s="1852">
        <f>'[6]Bilan'!$E$29</f>
        <v>82</v>
      </c>
      <c r="F28" s="1852">
        <f>'[7]Ventes'!$U$152</f>
        <v>146</v>
      </c>
      <c r="G28" s="1853">
        <v>277</v>
      </c>
      <c r="H28" s="1853">
        <f>'[8]Bilan'!$H$29</f>
        <v>335</v>
      </c>
      <c r="I28" s="1853">
        <v>296</v>
      </c>
      <c r="J28" s="1853">
        <f>'Ventes Hagetmau'!U108+'Ventes St Sever'!V253+'Ventes Musée'!H71+'Ventes Samadet'!J86+'Ventes Crypte'!H19+'Ventes Cave Geaune'!H20</f>
        <v>0</v>
      </c>
      <c r="K28" s="1853">
        <f>'Ventes Cave Geaune'!H20+'Ventes Crypte'!H19+'Ventes Samadet'!J86+'Ventes Musée'!H71+'Ventes Amou'!U167+'Ventes St Sever'!V253+'Ventes Hagetmau'!U108</f>
        <v>0</v>
      </c>
      <c r="L28" s="1862"/>
    </row>
    <row r="29" spans="1:12" ht="18.75">
      <c r="A29" s="1849"/>
      <c r="B29" s="1850" t="s">
        <v>1175</v>
      </c>
      <c r="C29" s="1856">
        <f>'[4]Ventes'!$AD$74</f>
        <v>330.59999999999997</v>
      </c>
      <c r="D29" s="1857">
        <f>'[5]Ventes'!$AD$119</f>
        <v>449.2</v>
      </c>
      <c r="E29" s="1857">
        <f>'[6]Bilan'!$E$30</f>
        <v>376.7499999999999</v>
      </c>
      <c r="F29" s="1857">
        <f>'[7]Ventes'!$V$152</f>
        <v>806.85</v>
      </c>
      <c r="G29" s="1858">
        <v>1007.1</v>
      </c>
      <c r="H29" s="1858">
        <f>'[8]Bilan'!$H$30</f>
        <v>1393.7000000000003</v>
      </c>
      <c r="I29" s="1858">
        <v>1330.35</v>
      </c>
      <c r="J29" s="1858">
        <f>'Ventes Hagetmau'!V108+'Ventes St Sever'!W253+'Ventes Musée'!I71+'Ventes Samadet'!K86+'Ventes Crypte'!I19+'Ventes Cave Geaune'!I20</f>
        <v>0</v>
      </c>
      <c r="K29" s="1858">
        <f>'Ventes Cave Geaune'!I20+'Ventes Crypte'!I19+'Ventes Samadet'!K86+'Ventes Musée'!I71+'Ventes Amou'!V167+'Ventes St Sever'!W253+'Ventes Hagetmau'!V108</f>
        <v>0</v>
      </c>
      <c r="L29" s="1859">
        <f>K29-J29</f>
        <v>0</v>
      </c>
    </row>
    <row r="30" spans="1:12" ht="18.75">
      <c r="A30" s="1860"/>
      <c r="B30" s="1850"/>
      <c r="C30" s="1851"/>
      <c r="D30" s="1852"/>
      <c r="E30" s="1852"/>
      <c r="F30" s="1852"/>
      <c r="G30" s="1853"/>
      <c r="H30" s="1853"/>
      <c r="I30" s="1853"/>
      <c r="J30" s="1853"/>
      <c r="K30" s="1853"/>
      <c r="L30" s="1861"/>
    </row>
    <row r="31" spans="1:12" ht="18.75" customHeight="1">
      <c r="A31" s="1849" t="s">
        <v>9</v>
      </c>
      <c r="B31" s="1850" t="s">
        <v>26</v>
      </c>
      <c r="C31" s="1851">
        <f>'[4]Ventes'!$AF$74</f>
        <v>70</v>
      </c>
      <c r="D31" s="1852">
        <f>'[5]Ventes'!$AF$119</f>
        <v>72</v>
      </c>
      <c r="E31" s="1852">
        <f>'[6]Bilan'!$E$32</f>
        <v>142</v>
      </c>
      <c r="F31" s="1852">
        <f>'[7]Ventes'!$W$152</f>
        <v>104</v>
      </c>
      <c r="G31" s="1853">
        <v>135</v>
      </c>
      <c r="H31" s="1853">
        <f>'[8]Bilan'!$H$32</f>
        <v>173</v>
      </c>
      <c r="I31" s="1853">
        <v>151</v>
      </c>
      <c r="J31" s="1853">
        <f>'Ventes Hagetmau'!W108+'Ventes St Sever'!X253</f>
        <v>0</v>
      </c>
      <c r="K31" s="1853">
        <f>'Ventes Hagetmau'!W108+'Ventes St Sever'!X253+'Ventes Amou'!W167</f>
        <v>0</v>
      </c>
      <c r="L31" s="1862"/>
    </row>
    <row r="32" spans="1:12" ht="18.75">
      <c r="A32" s="1849"/>
      <c r="B32" s="1850" t="s">
        <v>1175</v>
      </c>
      <c r="C32" s="1856">
        <f>'[4]Ventes'!$AG$74</f>
        <v>240.35</v>
      </c>
      <c r="D32" s="1857">
        <f>'[5]Ventes'!$AG$119</f>
        <v>424.5</v>
      </c>
      <c r="E32" s="1857">
        <f>'[6]Bilan'!$E$33</f>
        <v>550.4499999999999</v>
      </c>
      <c r="F32" s="1857">
        <f>'[7]Ventes'!$X$152</f>
        <v>526.6999999999999</v>
      </c>
      <c r="G32" s="1858">
        <v>642.3</v>
      </c>
      <c r="H32" s="1858">
        <f>'[8]Bilan'!$H$33</f>
        <v>679.55</v>
      </c>
      <c r="I32" s="1858">
        <v>828.7</v>
      </c>
      <c r="J32" s="1858">
        <f>'Ventes Hagetmau'!X108+'Ventes St Sever'!Y253</f>
        <v>0</v>
      </c>
      <c r="K32" s="1858">
        <f>'Ventes St Sever'!Y253+'Ventes Amou'!X167+'Ventes Hagetmau'!X108</f>
        <v>0</v>
      </c>
      <c r="L32" s="1859">
        <f>K32-J32</f>
        <v>0</v>
      </c>
    </row>
    <row r="33" spans="1:12" ht="18.75">
      <c r="A33" s="1860"/>
      <c r="B33" s="1850"/>
      <c r="C33" s="1851"/>
      <c r="D33" s="1852"/>
      <c r="E33" s="1852"/>
      <c r="F33" s="1852"/>
      <c r="G33" s="1853"/>
      <c r="H33" s="1853"/>
      <c r="I33" s="1853"/>
      <c r="J33" s="1853"/>
      <c r="K33" s="1853"/>
      <c r="L33" s="1861"/>
    </row>
    <row r="34" spans="1:12" ht="18.75" customHeight="1">
      <c r="A34" s="1849" t="s">
        <v>10</v>
      </c>
      <c r="B34" s="1850" t="s">
        <v>26</v>
      </c>
      <c r="C34" s="1851">
        <f>'[4]Ventes'!$AI$74</f>
        <v>78</v>
      </c>
      <c r="D34" s="1852">
        <f>'[5]Ventes'!$AI$119</f>
        <v>80</v>
      </c>
      <c r="E34" s="1852">
        <f>'[6]Bilan'!$E$35</f>
        <v>66</v>
      </c>
      <c r="F34" s="1852">
        <f>'[7]Ventes'!$Y$152</f>
        <v>38</v>
      </c>
      <c r="G34" s="1853">
        <v>106</v>
      </c>
      <c r="H34" s="1853">
        <f>'[8]Bilan'!$H$35</f>
        <v>80</v>
      </c>
      <c r="I34" s="1853">
        <v>92</v>
      </c>
      <c r="J34" s="1853">
        <f>'Ventes Hagetmau'!Y108+'Ventes St Sever'!Z253</f>
        <v>0</v>
      </c>
      <c r="K34" s="1853">
        <f>'Ventes Hagetmau'!Y108+'Ventes St Sever'!Z253+'Ventes Amou'!Y167</f>
        <v>0</v>
      </c>
      <c r="L34" s="1862"/>
    </row>
    <row r="35" spans="1:12" ht="18.75">
      <c r="A35" s="1849"/>
      <c r="B35" s="1850" t="s">
        <v>1175</v>
      </c>
      <c r="C35" s="1856">
        <f>'[4]Ventes'!$AJ$74</f>
        <v>395.09999999999997</v>
      </c>
      <c r="D35" s="1857">
        <f>'[5]Ventes'!$AJ$119</f>
        <v>522.5500000000001</v>
      </c>
      <c r="E35" s="1857">
        <f>'[6]Bilan'!$E$36</f>
        <v>295</v>
      </c>
      <c r="F35" s="1857">
        <f>'[7]Ventes'!$Z$152</f>
        <v>266.25</v>
      </c>
      <c r="G35" s="1858">
        <v>353.35</v>
      </c>
      <c r="H35" s="1858">
        <f>'[8]Bilan'!$H$36</f>
        <v>310.84999999999997</v>
      </c>
      <c r="I35" s="1858">
        <v>589.4</v>
      </c>
      <c r="J35" s="1858">
        <f>'Ventes Hagetmau'!Z108+'Ventes St Sever'!AA253</f>
        <v>0</v>
      </c>
      <c r="K35" s="1858">
        <f>'Ventes Hagetmau'!Z108+'Ventes St Sever'!AA253+'Ventes Amou'!Z167</f>
        <v>0</v>
      </c>
      <c r="L35" s="1859">
        <f>K35-J35</f>
        <v>0</v>
      </c>
    </row>
    <row r="36" spans="1:12" ht="18.75">
      <c r="A36" s="1860"/>
      <c r="B36" s="1850"/>
      <c r="C36" s="1851"/>
      <c r="D36" s="1852"/>
      <c r="E36" s="1852"/>
      <c r="F36" s="1852"/>
      <c r="G36" s="1853"/>
      <c r="H36" s="1853"/>
      <c r="I36" s="1853"/>
      <c r="J36" s="1853"/>
      <c r="K36" s="1853"/>
      <c r="L36" s="1861"/>
    </row>
    <row r="37" spans="1:12" ht="18.75" customHeight="1">
      <c r="A37" s="1849" t="s">
        <v>11</v>
      </c>
      <c r="B37" s="1850" t="s">
        <v>26</v>
      </c>
      <c r="C37" s="1851">
        <f>'[4]Ventes'!$AL$74</f>
        <v>36</v>
      </c>
      <c r="D37" s="1852">
        <f>'[5]Ventes'!$AL$119</f>
        <v>66</v>
      </c>
      <c r="E37" s="1852">
        <f>'[6]Bilan'!$E$38</f>
        <v>46</v>
      </c>
      <c r="F37" s="1852">
        <f>'[7]Ventes'!$AA$152</f>
        <v>104</v>
      </c>
      <c r="G37" s="1853">
        <v>38</v>
      </c>
      <c r="H37" s="1853">
        <f>'[8]Bilan'!$H$38</f>
        <v>199</v>
      </c>
      <c r="I37" s="1853">
        <v>191</v>
      </c>
      <c r="J37" s="1853">
        <f>'Ventes Hagetmau'!AA108+'Ventes St Sever'!AB253</f>
        <v>0</v>
      </c>
      <c r="K37" s="1853">
        <f>'Ventes Hagetmau'!AA108+'Ventes St Sever'!AB253+'Ventes Amou'!AA167</f>
        <v>0</v>
      </c>
      <c r="L37" s="1862"/>
    </row>
    <row r="38" spans="1:12" ht="18.75">
      <c r="A38" s="1849"/>
      <c r="B38" s="1850" t="s">
        <v>1175</v>
      </c>
      <c r="C38" s="1856">
        <f>'[4]Ventes'!$AM$74</f>
        <v>135.5</v>
      </c>
      <c r="D38" s="1857">
        <f>'[5]Ventes'!$AM$119</f>
        <v>511.8</v>
      </c>
      <c r="E38" s="1857">
        <f>'[6]Bilan'!$E$39</f>
        <v>133.35</v>
      </c>
      <c r="F38" s="1857">
        <f>'[7]Ventes'!$AB$152</f>
        <v>670</v>
      </c>
      <c r="G38" s="1858">
        <v>351.5</v>
      </c>
      <c r="H38" s="1858">
        <f>'[8]Bilan'!$H$39</f>
        <v>1368.15</v>
      </c>
      <c r="I38" s="1858">
        <v>1394.55</v>
      </c>
      <c r="J38" s="1858">
        <f>'Ventes Hagetmau'!AB108+'Ventes St Sever'!AC253</f>
        <v>0</v>
      </c>
      <c r="K38" s="1858">
        <f>'Ventes Amou'!AB167+'Ventes St Sever'!AC253+'Ventes Hagetmau'!AB108</f>
        <v>0</v>
      </c>
      <c r="L38" s="1859">
        <f>K38-J38</f>
        <v>0</v>
      </c>
    </row>
    <row r="39" spans="1:12" ht="12.75">
      <c r="A39" s="1844"/>
      <c r="B39" s="1850"/>
      <c r="C39" s="1844"/>
      <c r="D39" s="1845"/>
      <c r="E39" s="1845"/>
      <c r="F39" s="1845"/>
      <c r="G39" s="1850"/>
      <c r="H39" s="1850"/>
      <c r="I39" s="1850"/>
      <c r="J39" s="1850"/>
      <c r="K39" s="1850"/>
      <c r="L39" s="1861"/>
    </row>
    <row r="40" spans="1:12" ht="18.75">
      <c r="A40" s="1870" t="s">
        <v>1177</v>
      </c>
      <c r="B40" s="1871" t="s">
        <v>26</v>
      </c>
      <c r="C40" s="1872">
        <f aca="true" t="shared" si="0" ref="C40:C41">C37+C34+C31+C28+C25+C22+C19+C16+C13+C10+C7+C4</f>
        <v>821</v>
      </c>
      <c r="D40" s="1873">
        <f>D4+D7+D10+D13+D16+D19+D22+D25+D28+D31+D34+D37</f>
        <v>1197</v>
      </c>
      <c r="E40" s="1873">
        <f aca="true" t="shared" si="1" ref="E40:E41">E37+E34+E31+E28+E25+E22+E19+E16+E13+E10+E7+E4</f>
        <v>1250</v>
      </c>
      <c r="F40" s="1873">
        <f>F4+F7+F10+F13+F16+F19+F22+F25+F28+F31+F34+F37</f>
        <v>1529</v>
      </c>
      <c r="G40" s="1873">
        <f>G4+G7+G10+G13+G16+G19+G22+G25+G28+G31+G34+G37</f>
        <v>2232</v>
      </c>
      <c r="H40" s="1874">
        <f>H4+H7+H10+H13+H16+H19+H22+H25+H28+H31+H34+H37</f>
        <v>2772</v>
      </c>
      <c r="I40" s="1874">
        <f>I4+I7+I10+I13+I16+I19+I22+I25+I28+I31+I34+I37</f>
        <v>2425</v>
      </c>
      <c r="J40" s="1874">
        <f>J4+J7+J10+J13+J16+J19+J22+J25+J28+J31+J34+J37</f>
        <v>387</v>
      </c>
      <c r="K40" s="1874">
        <f aca="true" t="shared" si="2" ref="K40:K41">K37+K34+K31+K28+K25+K22+K19+K16+K13+K10+K7+K4</f>
        <v>459</v>
      </c>
      <c r="L40" s="1862"/>
    </row>
    <row r="41" spans="1:12" ht="19.5">
      <c r="A41" s="1875"/>
      <c r="B41" s="1876" t="s">
        <v>21</v>
      </c>
      <c r="C41" s="1877">
        <f t="shared" si="0"/>
        <v>2835.55</v>
      </c>
      <c r="D41" s="1878">
        <f>D38+D35+D32+D29+D26+D23+D20+D17+D14+D8+D11+D5</f>
        <v>5850.799999999999</v>
      </c>
      <c r="E41" s="1878">
        <f t="shared" si="1"/>
        <v>5362.949999999999</v>
      </c>
      <c r="F41" s="1878">
        <f>F38+F35+F32+F29+F26+F23+F20+F17+F14+F8+F11+F5</f>
        <v>7844.099999999999</v>
      </c>
      <c r="G41" s="1878">
        <f>G38+G35+G32+G29+G26+G23+G20+G17+G14+G8+G11+G5</f>
        <v>9797.3</v>
      </c>
      <c r="H41" s="1878">
        <f>H38+H35+H32+H29+H26+H23+H20+H17+H14+H8+H11+H5</f>
        <v>12298.300000000001</v>
      </c>
      <c r="I41" s="1878">
        <f>I38+I35+I32+I29+I26+I23+I20+I17+I14+I11+I8+I5</f>
        <v>14020.550000000001</v>
      </c>
      <c r="J41" s="1878">
        <f>J38+J35+J32+J29+J26+J23+J20+J17+J14+J11+J8+J5</f>
        <v>2059.1</v>
      </c>
      <c r="K41" s="1878">
        <f t="shared" si="2"/>
        <v>2306.75</v>
      </c>
      <c r="L41" s="1879">
        <f>K41-J41</f>
        <v>247.6500000000001</v>
      </c>
    </row>
    <row r="42" ht="13.5">
      <c r="L42" s="1880"/>
    </row>
    <row r="43" spans="3:12" ht="12.75">
      <c r="C43" s="1881" t="s">
        <v>1178</v>
      </c>
      <c r="D43" s="1881" t="s">
        <v>1179</v>
      </c>
      <c r="E43" s="1881" t="s">
        <v>1180</v>
      </c>
      <c r="F43" s="1881" t="s">
        <v>1181</v>
      </c>
      <c r="G43" s="1881" t="s">
        <v>1182</v>
      </c>
      <c r="H43" s="1881" t="s">
        <v>1183</v>
      </c>
      <c r="I43" s="1881" t="s">
        <v>1184</v>
      </c>
      <c r="J43" s="1881" t="s">
        <v>1185</v>
      </c>
      <c r="K43" s="1881"/>
      <c r="L43" s="1880"/>
    </row>
    <row r="44" spans="3:12" ht="12.75">
      <c r="C44" s="1882">
        <f>C23+C26</f>
        <v>1255.4</v>
      </c>
      <c r="D44" s="1882">
        <f>D23+D26</f>
        <v>2529.5000000000005</v>
      </c>
      <c r="E44" s="1882">
        <f>E23+E26</f>
        <v>1763.7499999999995</v>
      </c>
      <c r="F44" s="307">
        <f>F23+F26</f>
        <v>3193.8</v>
      </c>
      <c r="G44" s="307">
        <f>G23+G26</f>
        <v>4125.35</v>
      </c>
      <c r="H44" s="307">
        <f>H23+H26</f>
        <v>4298.200000000001</v>
      </c>
      <c r="I44" s="307">
        <f>I23+I26</f>
        <v>4870.950000000001</v>
      </c>
      <c r="J44" s="307">
        <f>J23+J26</f>
        <v>73.8</v>
      </c>
      <c r="K44" s="307"/>
      <c r="L44" s="1880"/>
    </row>
    <row r="45" ht="12.75">
      <c r="L45" s="1880"/>
    </row>
    <row r="46" spans="4:12" ht="12.75">
      <c r="D46" s="306"/>
      <c r="E46" s="306"/>
      <c r="F46" s="1883"/>
      <c r="G46" s="1883"/>
      <c r="H46" s="1884">
        <f>H44-G44</f>
        <v>172.85000000000036</v>
      </c>
      <c r="I46" s="1884">
        <f>I44-H44</f>
        <v>572.75</v>
      </c>
      <c r="J46" s="1884"/>
      <c r="K46" s="1884"/>
      <c r="L46" s="1880" t="s">
        <v>1186</v>
      </c>
    </row>
  </sheetData>
  <sheetProtection selectLockedCells="1" selectUnlockedCells="1"/>
  <mergeCells count="13">
    <mergeCell ref="C1:L1"/>
    <mergeCell ref="A4:A5"/>
    <mergeCell ref="A7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57"/>
  <sheetViews>
    <sheetView workbookViewId="0" topLeftCell="A176">
      <selection activeCell="H201" sqref="H201"/>
    </sheetView>
  </sheetViews>
  <sheetFormatPr defaultColWidth="9.140625" defaultRowHeight="12.75"/>
  <cols>
    <col min="1" max="1" width="13.57421875" style="0" customWidth="1"/>
    <col min="2" max="2" width="26.140625" style="0" customWidth="1"/>
    <col min="3" max="3" width="26.140625" style="0" hidden="1" customWidth="1"/>
    <col min="4" max="4" width="39.00390625" style="0" customWidth="1"/>
    <col min="5" max="5" width="12.57421875" style="0" customWidth="1"/>
    <col min="6" max="6" width="15.140625" style="0" customWidth="1"/>
    <col min="7" max="7" width="9.8515625" style="0" customWidth="1"/>
    <col min="8" max="11" width="15.140625" style="0" customWidth="1"/>
    <col min="12" max="12" width="18.140625" style="0" customWidth="1"/>
    <col min="13" max="13" width="7.8515625" style="0" customWidth="1"/>
    <col min="14" max="38" width="15.7109375" style="0" customWidth="1"/>
    <col min="39" max="39" width="14.28125" style="0" hidden="1" customWidth="1"/>
    <col min="40" max="40" width="16.7109375" style="0" hidden="1" customWidth="1"/>
    <col min="41" max="41" width="15.140625" style="0" hidden="1" customWidth="1"/>
    <col min="42" max="42" width="17.8515625" style="0" hidden="1" customWidth="1"/>
    <col min="43" max="43" width="16.7109375" style="0" hidden="1" customWidth="1"/>
    <col min="44" max="47" width="16.28125" style="0" hidden="1" customWidth="1"/>
    <col min="48" max="48" width="13.8515625" style="0" hidden="1" customWidth="1"/>
    <col min="49" max="50" width="16.28125" style="0" hidden="1" customWidth="1"/>
    <col min="51" max="51" width="17.7109375" style="0" hidden="1" customWidth="1"/>
    <col min="52" max="52" width="19.7109375" style="0" hidden="1" customWidth="1"/>
    <col min="53" max="53" width="24.28125" style="0" hidden="1" customWidth="1"/>
    <col min="54" max="54" width="39.57421875" style="0" hidden="1" customWidth="1"/>
    <col min="55" max="55" width="28.00390625" style="0" hidden="1" customWidth="1"/>
    <col min="56" max="60" width="11.421875" style="0" hidden="1" customWidth="1"/>
    <col min="61" max="16384" width="11.00390625" style="0" customWidth="1"/>
  </cols>
  <sheetData>
    <row r="1" spans="1:59" ht="54" customHeight="1">
      <c r="A1" s="343">
        <v>2021</v>
      </c>
      <c r="B1" s="343"/>
      <c r="C1" s="343"/>
      <c r="D1" s="343"/>
      <c r="E1" s="343"/>
      <c r="F1" s="343"/>
      <c r="G1" s="343"/>
      <c r="H1" s="343"/>
      <c r="I1" s="343"/>
      <c r="J1" s="343"/>
      <c r="K1" s="344"/>
      <c r="L1" s="344"/>
      <c r="M1" s="345" t="s">
        <v>0</v>
      </c>
      <c r="N1" s="345"/>
      <c r="O1" s="346" t="s">
        <v>1</v>
      </c>
      <c r="P1" s="346"/>
      <c r="Q1" s="347" t="s">
        <v>2</v>
      </c>
      <c r="R1" s="347"/>
      <c r="S1" s="345" t="s">
        <v>3</v>
      </c>
      <c r="T1" s="345"/>
      <c r="U1" s="345"/>
      <c r="V1" s="345"/>
      <c r="W1" s="346" t="s">
        <v>4</v>
      </c>
      <c r="X1" s="346"/>
      <c r="Y1" s="345" t="s">
        <v>5</v>
      </c>
      <c r="Z1" s="345"/>
      <c r="AA1" s="346" t="s">
        <v>6</v>
      </c>
      <c r="AB1" s="346"/>
      <c r="AC1" s="345" t="s">
        <v>150</v>
      </c>
      <c r="AD1" s="345"/>
      <c r="AE1" s="346" t="s">
        <v>8</v>
      </c>
      <c r="AF1" s="346"/>
      <c r="AG1" s="345" t="s">
        <v>9</v>
      </c>
      <c r="AH1" s="345"/>
      <c r="AI1" s="346" t="s">
        <v>10</v>
      </c>
      <c r="AJ1" s="346"/>
      <c r="AK1" s="345" t="s">
        <v>11</v>
      </c>
      <c r="AL1" s="345"/>
      <c r="AM1" s="348" t="s">
        <v>12</v>
      </c>
      <c r="AN1" s="348"/>
      <c r="AO1" s="349" t="s">
        <v>13</v>
      </c>
      <c r="AP1" s="349"/>
      <c r="AQ1" s="350" t="s">
        <v>151</v>
      </c>
      <c r="AR1" s="350"/>
      <c r="AS1" s="351" t="s">
        <v>152</v>
      </c>
      <c r="AT1" s="351"/>
      <c r="AU1" s="352" t="s">
        <v>15</v>
      </c>
      <c r="AV1" s="352"/>
      <c r="AW1" s="353" t="s">
        <v>153</v>
      </c>
      <c r="AX1" s="353"/>
      <c r="AY1" s="354" t="s">
        <v>154</v>
      </c>
      <c r="AZ1" s="354" t="s">
        <v>17</v>
      </c>
      <c r="BA1" s="355">
        <f>5500-N245-R245-T245-X245-P245-Z245-AB245-V245-AD245-AF245-AH245-AJ245-AL245</f>
        <v>5402.13</v>
      </c>
      <c r="BB1" s="356"/>
      <c r="BC1" s="354" t="s">
        <v>155</v>
      </c>
      <c r="BD1" s="354" t="s">
        <v>20</v>
      </c>
      <c r="BE1" s="354" t="s">
        <v>156</v>
      </c>
      <c r="BF1" s="357" t="s">
        <v>22</v>
      </c>
      <c r="BG1" s="357" t="s">
        <v>23</v>
      </c>
    </row>
    <row r="2" spans="1:59" ht="76.5">
      <c r="A2" s="85"/>
      <c r="B2" s="358" t="s">
        <v>24</v>
      </c>
      <c r="C2" s="358" t="s">
        <v>157</v>
      </c>
      <c r="D2" s="358" t="s">
        <v>26</v>
      </c>
      <c r="E2" s="17" t="s">
        <v>27</v>
      </c>
      <c r="F2" s="17" t="s">
        <v>158</v>
      </c>
      <c r="G2" s="17" t="s">
        <v>29</v>
      </c>
      <c r="H2" s="17" t="s">
        <v>30</v>
      </c>
      <c r="I2" s="17" t="s">
        <v>159</v>
      </c>
      <c r="J2" s="17" t="s">
        <v>160</v>
      </c>
      <c r="K2" s="359" t="s">
        <v>32</v>
      </c>
      <c r="L2" s="358" t="s">
        <v>161</v>
      </c>
      <c r="M2" s="360" t="s">
        <v>20</v>
      </c>
      <c r="N2" s="361" t="s">
        <v>162</v>
      </c>
      <c r="O2" s="362" t="s">
        <v>20</v>
      </c>
      <c r="P2" s="363" t="s">
        <v>35</v>
      </c>
      <c r="Q2" s="360" t="s">
        <v>20</v>
      </c>
      <c r="R2" s="363" t="s">
        <v>162</v>
      </c>
      <c r="S2" s="360" t="s">
        <v>20</v>
      </c>
      <c r="T2" s="364" t="s">
        <v>35</v>
      </c>
      <c r="U2" s="364" t="s">
        <v>20</v>
      </c>
      <c r="V2" s="361" t="s">
        <v>35</v>
      </c>
      <c r="W2" s="362" t="s">
        <v>20</v>
      </c>
      <c r="X2" s="363" t="s">
        <v>163</v>
      </c>
      <c r="Y2" s="360" t="s">
        <v>20</v>
      </c>
      <c r="Z2" s="361" t="s">
        <v>35</v>
      </c>
      <c r="AA2" s="362" t="s">
        <v>20</v>
      </c>
      <c r="AB2" s="363" t="s">
        <v>35</v>
      </c>
      <c r="AC2" s="360" t="s">
        <v>20</v>
      </c>
      <c r="AD2" s="361" t="s">
        <v>35</v>
      </c>
      <c r="AE2" s="362" t="s">
        <v>20</v>
      </c>
      <c r="AF2" s="363" t="s">
        <v>35</v>
      </c>
      <c r="AG2" s="360" t="s">
        <v>20</v>
      </c>
      <c r="AH2" s="361" t="s">
        <v>35</v>
      </c>
      <c r="AI2" s="362" t="s">
        <v>20</v>
      </c>
      <c r="AJ2" s="363" t="s">
        <v>35</v>
      </c>
      <c r="AK2" s="360" t="s">
        <v>20</v>
      </c>
      <c r="AL2" s="361" t="s">
        <v>35</v>
      </c>
      <c r="AM2" s="365" t="s">
        <v>164</v>
      </c>
      <c r="AN2" s="366" t="s">
        <v>39</v>
      </c>
      <c r="AO2" s="367" t="s">
        <v>164</v>
      </c>
      <c r="AP2" s="367" t="s">
        <v>39</v>
      </c>
      <c r="AQ2" s="368" t="s">
        <v>164</v>
      </c>
      <c r="AR2" s="368" t="s">
        <v>39</v>
      </c>
      <c r="AS2" s="369"/>
      <c r="AT2" s="369"/>
      <c r="AU2" s="370" t="s">
        <v>164</v>
      </c>
      <c r="AV2" s="370" t="s">
        <v>39</v>
      </c>
      <c r="AW2" s="371" t="s">
        <v>164</v>
      </c>
      <c r="AX2" s="371" t="s">
        <v>39</v>
      </c>
      <c r="AY2" s="354"/>
      <c r="AZ2" s="354"/>
      <c r="BA2" s="355"/>
      <c r="BB2" s="372"/>
      <c r="BC2" s="354"/>
      <c r="BD2" s="354"/>
      <c r="BE2" s="354"/>
      <c r="BF2" s="357"/>
      <c r="BG2" s="357"/>
    </row>
    <row r="3" spans="1:59" ht="16.5" customHeight="1" hidden="1">
      <c r="A3" s="373" t="s">
        <v>165</v>
      </c>
      <c r="B3" s="374" t="s">
        <v>166</v>
      </c>
      <c r="C3" s="374"/>
      <c r="D3" s="375" t="s">
        <v>167</v>
      </c>
      <c r="E3" s="376" t="s">
        <v>168</v>
      </c>
      <c r="F3" s="377">
        <v>1.8</v>
      </c>
      <c r="G3" s="377"/>
      <c r="H3" s="377"/>
      <c r="I3" s="377"/>
      <c r="J3" s="378">
        <v>2</v>
      </c>
      <c r="K3" s="379">
        <v>0.2</v>
      </c>
      <c r="L3" s="380"/>
      <c r="M3" s="381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3"/>
      <c r="AM3" s="384"/>
      <c r="AN3" s="384"/>
      <c r="AO3" s="385"/>
      <c r="AP3" s="385"/>
      <c r="AQ3" s="386"/>
      <c r="AR3" s="386"/>
      <c r="AS3" s="387"/>
      <c r="AT3" s="387"/>
      <c r="AU3" s="388"/>
      <c r="AV3" s="388"/>
      <c r="AW3" s="389"/>
      <c r="AX3" s="389"/>
      <c r="AY3" s="390"/>
      <c r="AZ3" s="391"/>
      <c r="BA3" s="355"/>
      <c r="BB3" s="375" t="s">
        <v>167</v>
      </c>
      <c r="BC3" s="375"/>
      <c r="BD3" s="86">
        <f aca="true" t="shared" si="0" ref="BD3:BD17">M3+O3+Q3+S3+U3+W3+Y3+AA3+AC3+AE3+AG3+AI3+AK3</f>
        <v>0</v>
      </c>
      <c r="BE3" s="86">
        <f aca="true" t="shared" si="1" ref="BE3:BE17">AY3</f>
        <v>0</v>
      </c>
      <c r="BF3" s="392">
        <f aca="true" t="shared" si="2" ref="BF3:BF17">(BC3+BD3)-AY3</f>
        <v>0</v>
      </c>
      <c r="BG3">
        <f aca="true" t="shared" si="3" ref="BG3:BG4">IF(BF3&gt;=6,"Ok","Commande")</f>
        <v>0</v>
      </c>
    </row>
    <row r="4" spans="1:59" ht="32.25" customHeight="1" hidden="1">
      <c r="A4" s="373"/>
      <c r="B4" s="374"/>
      <c r="C4" s="393" t="s">
        <v>169</v>
      </c>
      <c r="D4" s="375" t="s">
        <v>170</v>
      </c>
      <c r="E4" s="376" t="s">
        <v>168</v>
      </c>
      <c r="F4" s="377">
        <v>4.5</v>
      </c>
      <c r="G4" s="377"/>
      <c r="H4" s="377"/>
      <c r="I4" s="377"/>
      <c r="J4" s="378">
        <v>5</v>
      </c>
      <c r="K4" s="379"/>
      <c r="L4" s="380"/>
      <c r="M4" s="394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3"/>
      <c r="AM4" s="384"/>
      <c r="AN4" s="384"/>
      <c r="AO4" s="385"/>
      <c r="AP4" s="385"/>
      <c r="AQ4" s="386"/>
      <c r="AR4" s="386"/>
      <c r="AS4" s="387"/>
      <c r="AT4" s="387"/>
      <c r="AU4" s="388"/>
      <c r="AV4" s="388"/>
      <c r="AW4" s="389"/>
      <c r="AX4" s="389"/>
      <c r="AY4" s="390"/>
      <c r="AZ4" s="391"/>
      <c r="BA4" s="355"/>
      <c r="BB4" s="375" t="s">
        <v>170</v>
      </c>
      <c r="BC4" s="375"/>
      <c r="BD4" s="86">
        <f t="shared" si="0"/>
        <v>0</v>
      </c>
      <c r="BE4" s="86">
        <f t="shared" si="1"/>
        <v>0</v>
      </c>
      <c r="BF4" s="392">
        <f t="shared" si="2"/>
        <v>0</v>
      </c>
      <c r="BG4">
        <f t="shared" si="3"/>
        <v>0</v>
      </c>
    </row>
    <row r="5" spans="1:58" ht="16.5" customHeight="1" hidden="1">
      <c r="A5" s="373"/>
      <c r="B5" s="374"/>
      <c r="C5" s="395"/>
      <c r="D5" s="375" t="s">
        <v>171</v>
      </c>
      <c r="E5" s="376" t="s">
        <v>168</v>
      </c>
      <c r="F5" s="377">
        <v>1</v>
      </c>
      <c r="G5" s="377"/>
      <c r="H5" s="377"/>
      <c r="I5" s="377"/>
      <c r="J5" s="378">
        <v>1.2</v>
      </c>
      <c r="K5" s="379"/>
      <c r="L5" s="380"/>
      <c r="M5" s="394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383"/>
      <c r="AM5" s="384"/>
      <c r="AN5" s="384"/>
      <c r="AO5" s="385"/>
      <c r="AP5" s="385"/>
      <c r="AQ5" s="386"/>
      <c r="AR5" s="386"/>
      <c r="AS5" s="387"/>
      <c r="AT5" s="387"/>
      <c r="AU5" s="388"/>
      <c r="AV5" s="388"/>
      <c r="AW5" s="389"/>
      <c r="AX5" s="389"/>
      <c r="AY5" s="390"/>
      <c r="AZ5" s="391"/>
      <c r="BA5" s="355"/>
      <c r="BB5" s="375" t="s">
        <v>172</v>
      </c>
      <c r="BC5" s="375"/>
      <c r="BD5" s="86">
        <f t="shared" si="0"/>
        <v>0</v>
      </c>
      <c r="BE5" s="86">
        <f t="shared" si="1"/>
        <v>0</v>
      </c>
      <c r="BF5" s="392">
        <f t="shared" si="2"/>
        <v>0</v>
      </c>
    </row>
    <row r="6" spans="1:59" ht="15.75" customHeight="1" hidden="1">
      <c r="A6" s="373"/>
      <c r="B6" s="374"/>
      <c r="C6" s="395"/>
      <c r="D6" s="375" t="s">
        <v>173</v>
      </c>
      <c r="E6" s="396">
        <f>F6/1.2</f>
        <v>3.3333333333333335</v>
      </c>
      <c r="F6" s="396">
        <v>4</v>
      </c>
      <c r="G6" s="396"/>
      <c r="H6" s="396">
        <f>E6*1.25</f>
        <v>4.166666666666667</v>
      </c>
      <c r="I6" s="396">
        <f>H6*1.2</f>
        <v>5</v>
      </c>
      <c r="J6" s="378">
        <v>5</v>
      </c>
      <c r="K6" s="379"/>
      <c r="L6" s="380"/>
      <c r="M6" s="394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3"/>
      <c r="AM6" s="384"/>
      <c r="AN6" s="384"/>
      <c r="AO6" s="397"/>
      <c r="AP6" s="397"/>
      <c r="AQ6" s="398"/>
      <c r="AR6" s="398"/>
      <c r="AS6" s="399"/>
      <c r="AT6" s="399"/>
      <c r="AU6" s="400"/>
      <c r="AV6" s="400"/>
      <c r="AW6" s="401"/>
      <c r="AX6" s="401"/>
      <c r="AY6" s="390"/>
      <c r="AZ6" s="391"/>
      <c r="BA6" s="355"/>
      <c r="BB6" s="375" t="s">
        <v>173</v>
      </c>
      <c r="BC6" s="375"/>
      <c r="BD6" s="86">
        <f t="shared" si="0"/>
        <v>0</v>
      </c>
      <c r="BE6" s="86">
        <f t="shared" si="1"/>
        <v>0</v>
      </c>
      <c r="BF6" s="392">
        <f t="shared" si="2"/>
        <v>0</v>
      </c>
      <c r="BG6">
        <f aca="true" t="shared" si="4" ref="BG6:BG17">IF(BF6&gt;=6,"Ok","Commande")</f>
        <v>0</v>
      </c>
    </row>
    <row r="7" spans="1:59" ht="32.25" customHeight="1" hidden="1">
      <c r="A7" s="373"/>
      <c r="B7" s="374" t="s">
        <v>174</v>
      </c>
      <c r="C7" s="374"/>
      <c r="D7" s="375" t="s">
        <v>175</v>
      </c>
      <c r="E7" s="402" t="s">
        <v>168</v>
      </c>
      <c r="F7" s="403">
        <v>4</v>
      </c>
      <c r="G7" s="403"/>
      <c r="H7" s="403"/>
      <c r="I7" s="403"/>
      <c r="J7" s="378">
        <v>5</v>
      </c>
      <c r="K7" s="379">
        <v>0.2</v>
      </c>
      <c r="L7" s="380"/>
      <c r="M7" s="394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2"/>
      <c r="AI7" s="382"/>
      <c r="AJ7" s="382"/>
      <c r="AK7" s="382"/>
      <c r="AL7" s="383"/>
      <c r="AM7" s="404"/>
      <c r="AN7" s="404"/>
      <c r="AO7" s="405"/>
      <c r="AP7" s="405"/>
      <c r="AQ7" s="398"/>
      <c r="AR7" s="398"/>
      <c r="AS7" s="399"/>
      <c r="AT7" s="399"/>
      <c r="AU7" s="400"/>
      <c r="AV7" s="400"/>
      <c r="AW7" s="401"/>
      <c r="AX7" s="401"/>
      <c r="AY7" s="390"/>
      <c r="AZ7" s="391"/>
      <c r="BA7" s="355"/>
      <c r="BB7" s="375" t="s">
        <v>176</v>
      </c>
      <c r="BC7" s="375"/>
      <c r="BD7" s="86">
        <f t="shared" si="0"/>
        <v>0</v>
      </c>
      <c r="BE7" s="86">
        <f t="shared" si="1"/>
        <v>0</v>
      </c>
      <c r="BF7" s="392">
        <f t="shared" si="2"/>
        <v>0</v>
      </c>
      <c r="BG7">
        <f t="shared" si="4"/>
        <v>0</v>
      </c>
    </row>
    <row r="8" spans="1:59" ht="15" customHeight="1" hidden="1">
      <c r="A8" s="373" t="s">
        <v>177</v>
      </c>
      <c r="B8" s="406" t="s">
        <v>178</v>
      </c>
      <c r="C8" s="406"/>
      <c r="D8" s="375" t="s">
        <v>179</v>
      </c>
      <c r="E8" s="376">
        <v>1.182</v>
      </c>
      <c r="F8" s="407">
        <f aca="true" t="shared" si="5" ref="F8:F26">E8*0.25</f>
        <v>0.2955</v>
      </c>
      <c r="G8" s="407"/>
      <c r="H8" s="407">
        <f aca="true" t="shared" si="6" ref="H8:H26">E8*1.25</f>
        <v>1.4775</v>
      </c>
      <c r="I8" s="408">
        <f aca="true" t="shared" si="7" ref="I8:I25">H8*1.055</f>
        <v>1.5587625</v>
      </c>
      <c r="J8" s="378">
        <v>2</v>
      </c>
      <c r="K8" s="409">
        <v>0.055</v>
      </c>
      <c r="L8" s="380" t="s">
        <v>180</v>
      </c>
      <c r="M8" s="394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82"/>
      <c r="AE8" s="382"/>
      <c r="AF8" s="382"/>
      <c r="AG8" s="382"/>
      <c r="AH8" s="382"/>
      <c r="AI8" s="382"/>
      <c r="AJ8" s="382"/>
      <c r="AK8" s="382"/>
      <c r="AL8" s="383"/>
      <c r="AM8" s="384"/>
      <c r="AN8" s="384"/>
      <c r="AO8" s="405"/>
      <c r="AP8" s="405"/>
      <c r="AQ8" s="410"/>
      <c r="AR8" s="410"/>
      <c r="AS8" s="399"/>
      <c r="AT8" s="411"/>
      <c r="AU8" s="412"/>
      <c r="AV8" s="412"/>
      <c r="AW8" s="413"/>
      <c r="AX8" s="413"/>
      <c r="AY8" s="390"/>
      <c r="AZ8" s="391"/>
      <c r="BA8" s="355"/>
      <c r="BB8" s="375" t="s">
        <v>179</v>
      </c>
      <c r="BC8" s="375"/>
      <c r="BD8" s="86">
        <f t="shared" si="0"/>
        <v>0</v>
      </c>
      <c r="BE8" s="86">
        <f t="shared" si="1"/>
        <v>0</v>
      </c>
      <c r="BF8" s="392">
        <f t="shared" si="2"/>
        <v>0</v>
      </c>
      <c r="BG8">
        <f t="shared" si="4"/>
        <v>0</v>
      </c>
    </row>
    <row r="9" spans="1:59" ht="14.25" customHeight="1" hidden="1">
      <c r="A9" s="373"/>
      <c r="B9" s="406"/>
      <c r="C9" s="406"/>
      <c r="D9" s="375" t="s">
        <v>181</v>
      </c>
      <c r="E9" s="376">
        <v>1.182</v>
      </c>
      <c r="F9" s="407">
        <f t="shared" si="5"/>
        <v>0.2955</v>
      </c>
      <c r="G9" s="407"/>
      <c r="H9" s="407">
        <f t="shared" si="6"/>
        <v>1.4775</v>
      </c>
      <c r="I9" s="408">
        <f t="shared" si="7"/>
        <v>1.5587625</v>
      </c>
      <c r="J9" s="378">
        <v>2</v>
      </c>
      <c r="K9" s="409"/>
      <c r="L9" s="380" t="s">
        <v>180</v>
      </c>
      <c r="M9" s="394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3"/>
      <c r="AM9" s="384"/>
      <c r="AN9" s="384"/>
      <c r="AO9" s="405"/>
      <c r="AP9" s="405"/>
      <c r="AQ9" s="414"/>
      <c r="AR9" s="414"/>
      <c r="AS9" s="415"/>
      <c r="AT9" s="415"/>
      <c r="AU9" s="412"/>
      <c r="AV9" s="412"/>
      <c r="AW9" s="413"/>
      <c r="AX9" s="413"/>
      <c r="AY9" s="390"/>
      <c r="AZ9" s="391"/>
      <c r="BA9" s="355"/>
      <c r="BB9" s="375" t="s">
        <v>181</v>
      </c>
      <c r="BC9" s="375"/>
      <c r="BD9" s="86">
        <f t="shared" si="0"/>
        <v>0</v>
      </c>
      <c r="BE9" s="86">
        <f t="shared" si="1"/>
        <v>0</v>
      </c>
      <c r="BF9" s="392">
        <f t="shared" si="2"/>
        <v>0</v>
      </c>
      <c r="BG9">
        <f t="shared" si="4"/>
        <v>0</v>
      </c>
    </row>
    <row r="10" spans="1:59" ht="14.25" customHeight="1" hidden="1">
      <c r="A10" s="373"/>
      <c r="B10" s="406"/>
      <c r="C10" s="406"/>
      <c r="D10" s="375" t="s">
        <v>182</v>
      </c>
      <c r="E10" s="376">
        <v>1.182</v>
      </c>
      <c r="F10" s="407">
        <f t="shared" si="5"/>
        <v>0.2955</v>
      </c>
      <c r="G10" s="407"/>
      <c r="H10" s="407">
        <f t="shared" si="6"/>
        <v>1.4775</v>
      </c>
      <c r="I10" s="408">
        <f t="shared" si="7"/>
        <v>1.5587625</v>
      </c>
      <c r="J10" s="378">
        <v>2</v>
      </c>
      <c r="K10" s="409"/>
      <c r="L10" s="380" t="s">
        <v>180</v>
      </c>
      <c r="M10" s="394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3"/>
      <c r="AM10" s="384"/>
      <c r="AN10" s="384"/>
      <c r="AO10" s="405"/>
      <c r="AP10" s="405"/>
      <c r="AQ10" s="414"/>
      <c r="AR10" s="414"/>
      <c r="AS10" s="415"/>
      <c r="AT10" s="415"/>
      <c r="AU10" s="412"/>
      <c r="AV10" s="412"/>
      <c r="AW10" s="413"/>
      <c r="AX10" s="413"/>
      <c r="AY10" s="390"/>
      <c r="AZ10" s="391"/>
      <c r="BA10" s="355"/>
      <c r="BB10" s="375" t="s">
        <v>182</v>
      </c>
      <c r="BC10" s="375"/>
      <c r="BD10" s="86">
        <f t="shared" si="0"/>
        <v>0</v>
      </c>
      <c r="BE10" s="86">
        <f t="shared" si="1"/>
        <v>0</v>
      </c>
      <c r="BF10" s="392">
        <f t="shared" si="2"/>
        <v>0</v>
      </c>
      <c r="BG10">
        <f t="shared" si="4"/>
        <v>0</v>
      </c>
    </row>
    <row r="11" spans="1:59" ht="14.25" customHeight="1" hidden="1">
      <c r="A11" s="373"/>
      <c r="B11" s="406"/>
      <c r="C11" s="406"/>
      <c r="D11" s="375" t="s">
        <v>183</v>
      </c>
      <c r="E11" s="376">
        <v>1.182</v>
      </c>
      <c r="F11" s="407">
        <f t="shared" si="5"/>
        <v>0.2955</v>
      </c>
      <c r="G11" s="407"/>
      <c r="H11" s="407">
        <f t="shared" si="6"/>
        <v>1.4775</v>
      </c>
      <c r="I11" s="408">
        <f t="shared" si="7"/>
        <v>1.5587625</v>
      </c>
      <c r="J11" s="378">
        <v>2</v>
      </c>
      <c r="K11" s="409"/>
      <c r="L11" s="380" t="s">
        <v>180</v>
      </c>
      <c r="M11" s="394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3"/>
      <c r="AM11" s="384"/>
      <c r="AN11" s="384"/>
      <c r="AO11" s="405"/>
      <c r="AP11" s="405"/>
      <c r="AQ11" s="414"/>
      <c r="AR11" s="414"/>
      <c r="AS11" s="415"/>
      <c r="AT11" s="415"/>
      <c r="AU11" s="412"/>
      <c r="AV11" s="412"/>
      <c r="AW11" s="413"/>
      <c r="AX11" s="413"/>
      <c r="AY11" s="390"/>
      <c r="AZ11" s="391"/>
      <c r="BA11" s="355"/>
      <c r="BB11" s="375" t="s">
        <v>183</v>
      </c>
      <c r="BC11" s="375"/>
      <c r="BD11" s="86">
        <f t="shared" si="0"/>
        <v>0</v>
      </c>
      <c r="BE11" s="86">
        <f t="shared" si="1"/>
        <v>0</v>
      </c>
      <c r="BF11" s="392">
        <f t="shared" si="2"/>
        <v>0</v>
      </c>
      <c r="BG11">
        <f t="shared" si="4"/>
        <v>0</v>
      </c>
    </row>
    <row r="12" spans="1:59" ht="14.25" customHeight="1" hidden="1">
      <c r="A12" s="373"/>
      <c r="B12" s="406"/>
      <c r="C12" s="406"/>
      <c r="D12" s="375" t="s">
        <v>184</v>
      </c>
      <c r="E12" s="376">
        <v>1.182</v>
      </c>
      <c r="F12" s="407">
        <f t="shared" si="5"/>
        <v>0.2955</v>
      </c>
      <c r="G12" s="407"/>
      <c r="H12" s="407">
        <f t="shared" si="6"/>
        <v>1.4775</v>
      </c>
      <c r="I12" s="408">
        <f t="shared" si="7"/>
        <v>1.5587625</v>
      </c>
      <c r="J12" s="378">
        <v>2</v>
      </c>
      <c r="K12" s="409"/>
      <c r="L12" s="380" t="s">
        <v>180</v>
      </c>
      <c r="M12" s="394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2"/>
      <c r="AJ12" s="382"/>
      <c r="AK12" s="382"/>
      <c r="AL12" s="383"/>
      <c r="AM12" s="416"/>
      <c r="AN12" s="416"/>
      <c r="AO12" s="405"/>
      <c r="AP12" s="405"/>
      <c r="AQ12" s="414"/>
      <c r="AR12" s="414"/>
      <c r="AS12" s="415"/>
      <c r="AT12" s="415"/>
      <c r="AU12" s="412"/>
      <c r="AV12" s="412"/>
      <c r="AW12" s="413"/>
      <c r="AX12" s="413"/>
      <c r="AY12" s="390"/>
      <c r="AZ12" s="391"/>
      <c r="BA12" s="355"/>
      <c r="BB12" s="375" t="s">
        <v>184</v>
      </c>
      <c r="BC12" s="375"/>
      <c r="BD12" s="86">
        <f t="shared" si="0"/>
        <v>0</v>
      </c>
      <c r="BE12" s="86">
        <f t="shared" si="1"/>
        <v>0</v>
      </c>
      <c r="BF12" s="392">
        <f t="shared" si="2"/>
        <v>0</v>
      </c>
      <c r="BG12">
        <f t="shared" si="4"/>
        <v>0</v>
      </c>
    </row>
    <row r="13" spans="1:59" ht="14.25" customHeight="1" hidden="1">
      <c r="A13" s="373"/>
      <c r="B13" s="406"/>
      <c r="C13" s="406"/>
      <c r="D13" s="375" t="s">
        <v>185</v>
      </c>
      <c r="E13" s="376">
        <v>1.182</v>
      </c>
      <c r="F13" s="407">
        <f t="shared" si="5"/>
        <v>0.2955</v>
      </c>
      <c r="G13" s="407"/>
      <c r="H13" s="407">
        <f t="shared" si="6"/>
        <v>1.4775</v>
      </c>
      <c r="I13" s="408">
        <f t="shared" si="7"/>
        <v>1.5587625</v>
      </c>
      <c r="J13" s="378">
        <v>2</v>
      </c>
      <c r="K13" s="409"/>
      <c r="L13" s="380" t="s">
        <v>180</v>
      </c>
      <c r="M13" s="394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3"/>
      <c r="AM13" s="384"/>
      <c r="AN13" s="384"/>
      <c r="AO13" s="405"/>
      <c r="AP13" s="405"/>
      <c r="AQ13" s="414"/>
      <c r="AR13" s="414"/>
      <c r="AS13" s="415"/>
      <c r="AT13" s="415"/>
      <c r="AU13" s="412"/>
      <c r="AV13" s="412"/>
      <c r="AW13" s="413"/>
      <c r="AX13" s="413"/>
      <c r="AY13" s="390"/>
      <c r="AZ13" s="391"/>
      <c r="BA13" s="355"/>
      <c r="BB13" s="375" t="s">
        <v>185</v>
      </c>
      <c r="BC13" s="375"/>
      <c r="BD13" s="86">
        <f t="shared" si="0"/>
        <v>0</v>
      </c>
      <c r="BE13" s="86">
        <f t="shared" si="1"/>
        <v>0</v>
      </c>
      <c r="BF13" s="392">
        <f t="shared" si="2"/>
        <v>0</v>
      </c>
      <c r="BG13">
        <f t="shared" si="4"/>
        <v>0</v>
      </c>
    </row>
    <row r="14" spans="1:59" ht="14.25" customHeight="1" hidden="1">
      <c r="A14" s="373"/>
      <c r="B14" s="406"/>
      <c r="C14" s="406"/>
      <c r="D14" s="375" t="s">
        <v>186</v>
      </c>
      <c r="E14" s="376">
        <v>1.182</v>
      </c>
      <c r="F14" s="407">
        <f t="shared" si="5"/>
        <v>0.2955</v>
      </c>
      <c r="G14" s="407"/>
      <c r="H14" s="407">
        <f t="shared" si="6"/>
        <v>1.4775</v>
      </c>
      <c r="I14" s="408">
        <f t="shared" si="7"/>
        <v>1.5587625</v>
      </c>
      <c r="J14" s="378">
        <v>2</v>
      </c>
      <c r="K14" s="409"/>
      <c r="L14" s="380" t="s">
        <v>180</v>
      </c>
      <c r="M14" s="394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2"/>
      <c r="AL14" s="383"/>
      <c r="AM14" s="384"/>
      <c r="AN14" s="384"/>
      <c r="AO14" s="405"/>
      <c r="AP14" s="405"/>
      <c r="AQ14" s="414"/>
      <c r="AR14" s="414"/>
      <c r="AS14" s="415"/>
      <c r="AT14" s="415"/>
      <c r="AU14" s="412"/>
      <c r="AV14" s="412"/>
      <c r="AW14" s="413"/>
      <c r="AX14" s="413"/>
      <c r="AY14" s="390"/>
      <c r="AZ14" s="391"/>
      <c r="BA14" s="355"/>
      <c r="BB14" s="375" t="s">
        <v>186</v>
      </c>
      <c r="BC14" s="375"/>
      <c r="BD14" s="86">
        <f t="shared" si="0"/>
        <v>0</v>
      </c>
      <c r="BE14" s="86">
        <f t="shared" si="1"/>
        <v>0</v>
      </c>
      <c r="BF14" s="392">
        <f t="shared" si="2"/>
        <v>0</v>
      </c>
      <c r="BG14">
        <f t="shared" si="4"/>
        <v>0</v>
      </c>
    </row>
    <row r="15" spans="1:59" ht="14.25" customHeight="1" hidden="1">
      <c r="A15" s="373"/>
      <c r="B15" s="406"/>
      <c r="C15" s="406"/>
      <c r="D15" s="375" t="s">
        <v>187</v>
      </c>
      <c r="E15" s="376">
        <v>1.182</v>
      </c>
      <c r="F15" s="407">
        <f t="shared" si="5"/>
        <v>0.2955</v>
      </c>
      <c r="G15" s="407"/>
      <c r="H15" s="407">
        <f t="shared" si="6"/>
        <v>1.4775</v>
      </c>
      <c r="I15" s="408">
        <f t="shared" si="7"/>
        <v>1.5587625</v>
      </c>
      <c r="J15" s="378">
        <v>2</v>
      </c>
      <c r="K15" s="409"/>
      <c r="L15" s="380" t="s">
        <v>180</v>
      </c>
      <c r="M15" s="394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3"/>
      <c r="AM15" s="384"/>
      <c r="AN15" s="384"/>
      <c r="AO15" s="405"/>
      <c r="AP15" s="405"/>
      <c r="AQ15" s="414"/>
      <c r="AR15" s="414"/>
      <c r="AS15" s="415"/>
      <c r="AT15" s="415"/>
      <c r="AU15" s="412"/>
      <c r="AV15" s="412"/>
      <c r="AW15" s="413"/>
      <c r="AX15" s="413"/>
      <c r="AY15" s="390"/>
      <c r="AZ15" s="391"/>
      <c r="BA15" s="355"/>
      <c r="BB15" s="375" t="s">
        <v>187</v>
      </c>
      <c r="BC15" s="375"/>
      <c r="BD15" s="86">
        <f t="shared" si="0"/>
        <v>0</v>
      </c>
      <c r="BE15" s="86">
        <f t="shared" si="1"/>
        <v>0</v>
      </c>
      <c r="BF15" s="392">
        <f t="shared" si="2"/>
        <v>0</v>
      </c>
      <c r="BG15">
        <f t="shared" si="4"/>
        <v>0</v>
      </c>
    </row>
    <row r="16" spans="1:59" ht="14.25" customHeight="1" hidden="1">
      <c r="A16" s="373"/>
      <c r="B16" s="406"/>
      <c r="C16" s="406"/>
      <c r="D16" s="375" t="s">
        <v>188</v>
      </c>
      <c r="E16" s="376">
        <v>1.182</v>
      </c>
      <c r="F16" s="407">
        <f t="shared" si="5"/>
        <v>0.2955</v>
      </c>
      <c r="G16" s="407"/>
      <c r="H16" s="407">
        <f t="shared" si="6"/>
        <v>1.4775</v>
      </c>
      <c r="I16" s="408">
        <f t="shared" si="7"/>
        <v>1.5587625</v>
      </c>
      <c r="J16" s="378">
        <v>2</v>
      </c>
      <c r="K16" s="409"/>
      <c r="L16" s="380" t="s">
        <v>180</v>
      </c>
      <c r="M16" s="394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2"/>
      <c r="AJ16" s="382"/>
      <c r="AK16" s="382"/>
      <c r="AL16" s="383"/>
      <c r="AM16" s="384"/>
      <c r="AN16" s="384"/>
      <c r="AO16" s="405"/>
      <c r="AP16" s="405"/>
      <c r="AQ16" s="414"/>
      <c r="AR16" s="414"/>
      <c r="AS16" s="415"/>
      <c r="AT16" s="415"/>
      <c r="AU16" s="412"/>
      <c r="AV16" s="412"/>
      <c r="AW16" s="413"/>
      <c r="AX16" s="413"/>
      <c r="AY16" s="390"/>
      <c r="AZ16" s="391"/>
      <c r="BA16" s="355"/>
      <c r="BB16" s="375" t="s">
        <v>188</v>
      </c>
      <c r="BC16" s="375"/>
      <c r="BD16" s="86">
        <f t="shared" si="0"/>
        <v>0</v>
      </c>
      <c r="BE16" s="86">
        <f t="shared" si="1"/>
        <v>0</v>
      </c>
      <c r="BF16" s="392">
        <f t="shared" si="2"/>
        <v>0</v>
      </c>
      <c r="BG16">
        <f t="shared" si="4"/>
        <v>0</v>
      </c>
    </row>
    <row r="17" spans="1:59" ht="14.25" customHeight="1" hidden="1">
      <c r="A17" s="373"/>
      <c r="B17" s="406"/>
      <c r="C17" s="406"/>
      <c r="D17" s="375" t="s">
        <v>189</v>
      </c>
      <c r="E17" s="376">
        <v>1.182</v>
      </c>
      <c r="F17" s="407">
        <f t="shared" si="5"/>
        <v>0.2955</v>
      </c>
      <c r="G17" s="407"/>
      <c r="H17" s="407">
        <f t="shared" si="6"/>
        <v>1.4775</v>
      </c>
      <c r="I17" s="408">
        <f t="shared" si="7"/>
        <v>1.5587625</v>
      </c>
      <c r="J17" s="378">
        <v>2</v>
      </c>
      <c r="K17" s="409"/>
      <c r="L17" s="380" t="s">
        <v>180</v>
      </c>
      <c r="M17" s="394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2"/>
      <c r="AJ17" s="382"/>
      <c r="AK17" s="382"/>
      <c r="AL17" s="383"/>
      <c r="AM17" s="384"/>
      <c r="AN17" s="384"/>
      <c r="AO17" s="405"/>
      <c r="AP17" s="405"/>
      <c r="AQ17" s="414"/>
      <c r="AR17" s="414"/>
      <c r="AS17" s="415"/>
      <c r="AT17" s="415"/>
      <c r="AU17" s="412"/>
      <c r="AV17" s="412"/>
      <c r="AW17" s="413"/>
      <c r="AX17" s="413"/>
      <c r="AY17" s="390"/>
      <c r="AZ17" s="391"/>
      <c r="BA17" s="355"/>
      <c r="BB17" s="375" t="s">
        <v>189</v>
      </c>
      <c r="BC17" s="375"/>
      <c r="BD17" s="86">
        <f t="shared" si="0"/>
        <v>0</v>
      </c>
      <c r="BE17" s="86">
        <f t="shared" si="1"/>
        <v>0</v>
      </c>
      <c r="BF17" s="392">
        <f t="shared" si="2"/>
        <v>0</v>
      </c>
      <c r="BG17">
        <f t="shared" si="4"/>
        <v>0</v>
      </c>
    </row>
    <row r="18" spans="1:58" ht="14.25" customHeight="1" hidden="1">
      <c r="A18" s="373"/>
      <c r="B18" s="406"/>
      <c r="C18" s="406"/>
      <c r="D18" s="417" t="s">
        <v>190</v>
      </c>
      <c r="E18" s="418">
        <v>1.182</v>
      </c>
      <c r="F18" s="419">
        <f t="shared" si="5"/>
        <v>0.2955</v>
      </c>
      <c r="G18" s="419"/>
      <c r="H18" s="420">
        <f t="shared" si="6"/>
        <v>1.4775</v>
      </c>
      <c r="I18" s="408">
        <f t="shared" si="7"/>
        <v>1.5587625</v>
      </c>
      <c r="J18" s="378">
        <v>2</v>
      </c>
      <c r="K18" s="409"/>
      <c r="L18" s="380" t="s">
        <v>180</v>
      </c>
      <c r="M18" s="394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3"/>
      <c r="AM18" s="384"/>
      <c r="AN18" s="384"/>
      <c r="AO18" s="405"/>
      <c r="AP18" s="405"/>
      <c r="AQ18" s="414"/>
      <c r="AR18" s="414"/>
      <c r="AS18" s="415"/>
      <c r="AT18" s="415"/>
      <c r="AU18" s="412"/>
      <c r="AV18" s="412"/>
      <c r="AW18" s="413"/>
      <c r="AX18" s="413"/>
      <c r="AY18" s="390"/>
      <c r="AZ18" s="391"/>
      <c r="BA18" s="355"/>
      <c r="BB18" s="375"/>
      <c r="BC18" s="375"/>
      <c r="BD18" s="86"/>
      <c r="BE18" s="86"/>
      <c r="BF18" s="392"/>
    </row>
    <row r="19" spans="1:58" ht="14.25" customHeight="1" hidden="1">
      <c r="A19" s="373"/>
      <c r="B19" s="406"/>
      <c r="C19" s="406"/>
      <c r="D19" s="417" t="s">
        <v>191</v>
      </c>
      <c r="E19" s="418">
        <v>1.182</v>
      </c>
      <c r="F19" s="419">
        <f t="shared" si="5"/>
        <v>0.2955</v>
      </c>
      <c r="G19" s="419"/>
      <c r="H19" s="420">
        <f t="shared" si="6"/>
        <v>1.4775</v>
      </c>
      <c r="I19" s="408">
        <f t="shared" si="7"/>
        <v>1.5587625</v>
      </c>
      <c r="J19" s="378">
        <v>2</v>
      </c>
      <c r="K19" s="409"/>
      <c r="L19" s="380" t="s">
        <v>180</v>
      </c>
      <c r="M19" s="394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3"/>
      <c r="AM19" s="384"/>
      <c r="AN19" s="384"/>
      <c r="AO19" s="405"/>
      <c r="AP19" s="405"/>
      <c r="AQ19" s="414"/>
      <c r="AR19" s="414"/>
      <c r="AS19" s="415"/>
      <c r="AT19" s="415"/>
      <c r="AU19" s="412"/>
      <c r="AV19" s="412"/>
      <c r="AW19" s="413"/>
      <c r="AX19" s="413"/>
      <c r="AY19" s="390"/>
      <c r="AZ19" s="391"/>
      <c r="BA19" s="355"/>
      <c r="BB19" s="375"/>
      <c r="BC19" s="375"/>
      <c r="BD19" s="86"/>
      <c r="BE19" s="86"/>
      <c r="BF19" s="392"/>
    </row>
    <row r="20" spans="1:58" ht="14.25" customHeight="1" hidden="1">
      <c r="A20" s="373"/>
      <c r="B20" s="406"/>
      <c r="C20" s="406"/>
      <c r="D20" s="417" t="s">
        <v>192</v>
      </c>
      <c r="E20" s="418">
        <v>1.182</v>
      </c>
      <c r="F20" s="419">
        <f t="shared" si="5"/>
        <v>0.2955</v>
      </c>
      <c r="G20" s="419"/>
      <c r="H20" s="420">
        <f t="shared" si="6"/>
        <v>1.4775</v>
      </c>
      <c r="I20" s="408">
        <f t="shared" si="7"/>
        <v>1.5587625</v>
      </c>
      <c r="J20" s="378">
        <v>2</v>
      </c>
      <c r="K20" s="409"/>
      <c r="L20" s="380" t="s">
        <v>180</v>
      </c>
      <c r="M20" s="394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3"/>
      <c r="AM20" s="384"/>
      <c r="AN20" s="384"/>
      <c r="AO20" s="405"/>
      <c r="AP20" s="405"/>
      <c r="AQ20" s="414"/>
      <c r="AR20" s="414"/>
      <c r="AS20" s="415"/>
      <c r="AT20" s="415"/>
      <c r="AU20" s="412"/>
      <c r="AV20" s="412"/>
      <c r="AW20" s="413"/>
      <c r="AX20" s="413"/>
      <c r="AY20" s="390"/>
      <c r="AZ20" s="391"/>
      <c r="BA20" s="355"/>
      <c r="BB20" s="375"/>
      <c r="BC20" s="375"/>
      <c r="BD20" s="86"/>
      <c r="BE20" s="86"/>
      <c r="BF20" s="392"/>
    </row>
    <row r="21" spans="1:59" ht="14.25" customHeight="1" hidden="1">
      <c r="A21" s="373"/>
      <c r="B21" s="406"/>
      <c r="C21" s="406"/>
      <c r="D21" s="417" t="s">
        <v>193</v>
      </c>
      <c r="E21" s="418">
        <v>1.182</v>
      </c>
      <c r="F21" s="419">
        <f t="shared" si="5"/>
        <v>0.2955</v>
      </c>
      <c r="G21" s="419"/>
      <c r="H21" s="420">
        <f t="shared" si="6"/>
        <v>1.4775</v>
      </c>
      <c r="I21" s="408">
        <f t="shared" si="7"/>
        <v>1.5587625</v>
      </c>
      <c r="J21" s="378">
        <v>2</v>
      </c>
      <c r="K21" s="409"/>
      <c r="L21" s="380" t="s">
        <v>180</v>
      </c>
      <c r="M21" s="394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2"/>
      <c r="AJ21" s="382"/>
      <c r="AK21" s="382"/>
      <c r="AL21" s="383"/>
      <c r="AM21" s="384"/>
      <c r="AN21" s="384"/>
      <c r="AO21" s="405"/>
      <c r="AP21" s="405"/>
      <c r="AQ21" s="414"/>
      <c r="AR21" s="414"/>
      <c r="AS21" s="415"/>
      <c r="AT21" s="415"/>
      <c r="AU21" s="412"/>
      <c r="AV21" s="412"/>
      <c r="AW21" s="413"/>
      <c r="AX21" s="413"/>
      <c r="AY21" s="390"/>
      <c r="AZ21" s="391"/>
      <c r="BA21" s="355"/>
      <c r="BB21" s="375" t="s">
        <v>194</v>
      </c>
      <c r="BC21" s="375"/>
      <c r="BD21" s="86">
        <f aca="true" t="shared" si="8" ref="BD21:BD26">M21+O21+Q21+S21+U21+W21+Y21+AA21+AC21+AE21+AG21+AI21+AK21</f>
        <v>0</v>
      </c>
      <c r="BE21" s="86">
        <f aca="true" t="shared" si="9" ref="BE21:BE26">AY21</f>
        <v>0</v>
      </c>
      <c r="BF21" s="392">
        <f aca="true" t="shared" si="10" ref="BF21:BF26">(BC21+BD21)-AY21</f>
        <v>0</v>
      </c>
      <c r="BG21">
        <f aca="true" t="shared" si="11" ref="BG21:BG26">IF(BF21&gt;=6,"Ok","Commande")</f>
        <v>0</v>
      </c>
    </row>
    <row r="22" spans="1:59" ht="14.25" customHeight="1" hidden="1">
      <c r="A22" s="373"/>
      <c r="B22" s="406"/>
      <c r="C22" s="406"/>
      <c r="D22" s="375" t="s">
        <v>195</v>
      </c>
      <c r="E22" s="376">
        <v>1.182</v>
      </c>
      <c r="F22" s="407">
        <f t="shared" si="5"/>
        <v>0.2955</v>
      </c>
      <c r="G22" s="407"/>
      <c r="H22" s="407">
        <f t="shared" si="6"/>
        <v>1.4775</v>
      </c>
      <c r="I22" s="408">
        <f t="shared" si="7"/>
        <v>1.5587625</v>
      </c>
      <c r="J22" s="378">
        <v>2</v>
      </c>
      <c r="K22" s="409"/>
      <c r="L22" s="380" t="s">
        <v>180</v>
      </c>
      <c r="M22" s="394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2"/>
      <c r="AJ22" s="382"/>
      <c r="AK22" s="382"/>
      <c r="AL22" s="383"/>
      <c r="AM22" s="384"/>
      <c r="AN22" s="384"/>
      <c r="AO22" s="405"/>
      <c r="AP22" s="405"/>
      <c r="AQ22" s="414"/>
      <c r="AR22" s="414"/>
      <c r="AS22" s="415"/>
      <c r="AT22" s="415"/>
      <c r="AU22" s="412"/>
      <c r="AV22" s="412"/>
      <c r="AW22" s="413"/>
      <c r="AX22" s="413"/>
      <c r="AY22" s="390"/>
      <c r="AZ22" s="391"/>
      <c r="BA22" s="355"/>
      <c r="BB22" s="375" t="s">
        <v>195</v>
      </c>
      <c r="BC22" s="375"/>
      <c r="BD22" s="86">
        <f t="shared" si="8"/>
        <v>0</v>
      </c>
      <c r="BE22" s="86">
        <f t="shared" si="9"/>
        <v>0</v>
      </c>
      <c r="BF22" s="392">
        <f t="shared" si="10"/>
        <v>0</v>
      </c>
      <c r="BG22">
        <f t="shared" si="11"/>
        <v>0</v>
      </c>
    </row>
    <row r="23" spans="1:59" ht="14.25" customHeight="1" hidden="1">
      <c r="A23" s="373"/>
      <c r="B23" s="406"/>
      <c r="C23" s="406"/>
      <c r="D23" s="375" t="s">
        <v>196</v>
      </c>
      <c r="E23" s="376">
        <v>1.182</v>
      </c>
      <c r="F23" s="407">
        <f t="shared" si="5"/>
        <v>0.2955</v>
      </c>
      <c r="G23" s="407"/>
      <c r="H23" s="407">
        <f t="shared" si="6"/>
        <v>1.4775</v>
      </c>
      <c r="I23" s="408">
        <f t="shared" si="7"/>
        <v>1.5587625</v>
      </c>
      <c r="J23" s="378">
        <v>10</v>
      </c>
      <c r="K23" s="409"/>
      <c r="L23" s="380" t="s">
        <v>180</v>
      </c>
      <c r="M23" s="394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82"/>
      <c r="AK23" s="382"/>
      <c r="AL23" s="383"/>
      <c r="AM23" s="416"/>
      <c r="AN23" s="416"/>
      <c r="AO23" s="405"/>
      <c r="AP23" s="405"/>
      <c r="AQ23" s="414"/>
      <c r="AR23" s="414"/>
      <c r="AS23" s="415"/>
      <c r="AT23" s="415"/>
      <c r="AU23" s="412"/>
      <c r="AV23" s="412"/>
      <c r="AW23" s="413"/>
      <c r="AX23" s="413"/>
      <c r="AY23" s="390"/>
      <c r="AZ23" s="391"/>
      <c r="BA23" s="355"/>
      <c r="BB23" s="375" t="s">
        <v>196</v>
      </c>
      <c r="BC23" s="375"/>
      <c r="BD23" s="86">
        <f t="shared" si="8"/>
        <v>0</v>
      </c>
      <c r="BE23" s="86">
        <f t="shared" si="9"/>
        <v>0</v>
      </c>
      <c r="BF23" s="392">
        <f t="shared" si="10"/>
        <v>0</v>
      </c>
      <c r="BG23">
        <f t="shared" si="11"/>
        <v>0</v>
      </c>
    </row>
    <row r="24" spans="1:59" ht="14.25" customHeight="1" hidden="1">
      <c r="A24" s="373"/>
      <c r="B24" s="406"/>
      <c r="C24" s="406"/>
      <c r="D24" s="375" t="s">
        <v>197</v>
      </c>
      <c r="E24" s="376">
        <v>1.182</v>
      </c>
      <c r="F24" s="407">
        <f t="shared" si="5"/>
        <v>0.2955</v>
      </c>
      <c r="G24" s="407"/>
      <c r="H24" s="407">
        <f t="shared" si="6"/>
        <v>1.4775</v>
      </c>
      <c r="I24" s="408">
        <f t="shared" si="7"/>
        <v>1.5587625</v>
      </c>
      <c r="J24" s="378">
        <v>2</v>
      </c>
      <c r="K24" s="409"/>
      <c r="L24" s="380" t="s">
        <v>180</v>
      </c>
      <c r="M24" s="394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382"/>
      <c r="AK24" s="382"/>
      <c r="AL24" s="383"/>
      <c r="AM24" s="384"/>
      <c r="AN24" s="384"/>
      <c r="AO24" s="405"/>
      <c r="AP24" s="405"/>
      <c r="AQ24" s="414"/>
      <c r="AR24" s="414"/>
      <c r="AS24" s="415"/>
      <c r="AT24" s="415"/>
      <c r="AU24" s="412"/>
      <c r="AV24" s="412"/>
      <c r="AW24" s="413"/>
      <c r="AX24" s="413"/>
      <c r="AY24" s="390"/>
      <c r="AZ24" s="391"/>
      <c r="BA24" s="355"/>
      <c r="BB24" s="375" t="s">
        <v>197</v>
      </c>
      <c r="BC24" s="375"/>
      <c r="BD24" s="86">
        <f t="shared" si="8"/>
        <v>0</v>
      </c>
      <c r="BE24" s="86">
        <f t="shared" si="9"/>
        <v>0</v>
      </c>
      <c r="BF24" s="392">
        <f t="shared" si="10"/>
        <v>0</v>
      </c>
      <c r="BG24">
        <f t="shared" si="11"/>
        <v>0</v>
      </c>
    </row>
    <row r="25" spans="1:59" ht="30" customHeight="1" hidden="1">
      <c r="A25" s="373"/>
      <c r="B25" s="406"/>
      <c r="C25" s="406"/>
      <c r="D25" s="375" t="s">
        <v>198</v>
      </c>
      <c r="E25" s="376">
        <v>1.182</v>
      </c>
      <c r="F25" s="407">
        <f t="shared" si="5"/>
        <v>0.2955</v>
      </c>
      <c r="G25" s="407"/>
      <c r="H25" s="407">
        <f t="shared" si="6"/>
        <v>1.4775</v>
      </c>
      <c r="I25" s="408">
        <f t="shared" si="7"/>
        <v>1.5587625</v>
      </c>
      <c r="J25" s="378">
        <v>2</v>
      </c>
      <c r="K25" s="409"/>
      <c r="L25" s="380" t="s">
        <v>180</v>
      </c>
      <c r="M25" s="394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2"/>
      <c r="AC25" s="382"/>
      <c r="AD25" s="382"/>
      <c r="AE25" s="382"/>
      <c r="AF25" s="382"/>
      <c r="AG25" s="382"/>
      <c r="AH25" s="382"/>
      <c r="AI25" s="382"/>
      <c r="AJ25" s="382"/>
      <c r="AK25" s="382"/>
      <c r="AL25" s="383"/>
      <c r="AM25" s="384"/>
      <c r="AN25" s="384"/>
      <c r="AO25" s="405"/>
      <c r="AP25" s="405"/>
      <c r="AQ25" s="414"/>
      <c r="AR25" s="414"/>
      <c r="AS25" s="415"/>
      <c r="AT25" s="415"/>
      <c r="AU25" s="412"/>
      <c r="AV25" s="412"/>
      <c r="AW25" s="413"/>
      <c r="AX25" s="413"/>
      <c r="AY25" s="390"/>
      <c r="AZ25" s="391"/>
      <c r="BA25" s="355"/>
      <c r="BB25" s="375" t="s">
        <v>198</v>
      </c>
      <c r="BC25" s="375"/>
      <c r="BD25" s="86">
        <f t="shared" si="8"/>
        <v>0</v>
      </c>
      <c r="BE25" s="86">
        <f t="shared" si="9"/>
        <v>0</v>
      </c>
      <c r="BF25" s="392">
        <f t="shared" si="10"/>
        <v>0</v>
      </c>
      <c r="BG25">
        <f t="shared" si="11"/>
        <v>0</v>
      </c>
    </row>
    <row r="26" spans="1:59" ht="15.75" customHeight="1" hidden="1">
      <c r="A26" s="373"/>
      <c r="B26" s="406" t="s">
        <v>199</v>
      </c>
      <c r="C26" s="406"/>
      <c r="D26" s="375" t="s">
        <v>200</v>
      </c>
      <c r="E26" s="421">
        <v>5.94</v>
      </c>
      <c r="F26" s="422">
        <f t="shared" si="5"/>
        <v>1.485</v>
      </c>
      <c r="G26" s="422"/>
      <c r="H26" s="422">
        <f t="shared" si="6"/>
        <v>7.425000000000001</v>
      </c>
      <c r="I26" s="422">
        <f>H26*1.2</f>
        <v>8.91</v>
      </c>
      <c r="J26" s="378">
        <v>10</v>
      </c>
      <c r="K26" s="423">
        <v>0.2</v>
      </c>
      <c r="L26" s="380" t="s">
        <v>180</v>
      </c>
      <c r="M26" s="394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2"/>
      <c r="AD26" s="382"/>
      <c r="AE26" s="382"/>
      <c r="AF26" s="382"/>
      <c r="AG26" s="382"/>
      <c r="AH26" s="382"/>
      <c r="AI26" s="382"/>
      <c r="AJ26" s="382"/>
      <c r="AK26" s="382"/>
      <c r="AL26" s="383"/>
      <c r="AM26" s="384"/>
      <c r="AN26" s="384"/>
      <c r="AO26" s="405"/>
      <c r="AP26" s="397"/>
      <c r="AQ26" s="398"/>
      <c r="AR26" s="398"/>
      <c r="AS26" s="399"/>
      <c r="AT26" s="399"/>
      <c r="AU26" s="400"/>
      <c r="AV26" s="400"/>
      <c r="AW26" s="401"/>
      <c r="AX26" s="401"/>
      <c r="AY26" s="390"/>
      <c r="AZ26" s="391"/>
      <c r="BA26" s="355"/>
      <c r="BB26" s="375" t="s">
        <v>200</v>
      </c>
      <c r="BC26" s="375"/>
      <c r="BD26" s="86">
        <f t="shared" si="8"/>
        <v>0</v>
      </c>
      <c r="BE26" s="86">
        <f t="shared" si="9"/>
        <v>0</v>
      </c>
      <c r="BF26" s="392">
        <f t="shared" si="10"/>
        <v>0</v>
      </c>
      <c r="BG26">
        <f t="shared" si="11"/>
        <v>0</v>
      </c>
    </row>
    <row r="27" spans="1:58" ht="15.75" customHeight="1" hidden="1">
      <c r="A27" s="373"/>
      <c r="B27" s="406"/>
      <c r="C27" s="406"/>
      <c r="D27" s="424" t="s">
        <v>201</v>
      </c>
      <c r="E27" s="425" t="s">
        <v>168</v>
      </c>
      <c r="F27" s="425"/>
      <c r="G27" s="425"/>
      <c r="H27" s="425"/>
      <c r="I27" s="425"/>
      <c r="J27" s="378">
        <v>10</v>
      </c>
      <c r="K27" s="423"/>
      <c r="L27" s="380" t="s">
        <v>180</v>
      </c>
      <c r="M27" s="394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I27" s="382"/>
      <c r="AJ27" s="382"/>
      <c r="AK27" s="382"/>
      <c r="AL27" s="383"/>
      <c r="AM27" s="384"/>
      <c r="AN27" s="384"/>
      <c r="AO27" s="405"/>
      <c r="AP27" s="397"/>
      <c r="AQ27" s="398"/>
      <c r="AR27" s="398"/>
      <c r="AS27" s="399"/>
      <c r="AT27" s="399"/>
      <c r="AU27" s="400"/>
      <c r="AV27" s="400"/>
      <c r="AW27" s="401"/>
      <c r="AX27" s="401"/>
      <c r="AY27" s="390"/>
      <c r="AZ27" s="391"/>
      <c r="BA27" s="355"/>
      <c r="BB27" s="375"/>
      <c r="BC27" s="375"/>
      <c r="BD27" s="86"/>
      <c r="BE27" s="86"/>
      <c r="BF27" s="392"/>
    </row>
    <row r="28" spans="1:58" ht="15.75" customHeight="1" hidden="1">
      <c r="A28" s="373"/>
      <c r="B28" s="406"/>
      <c r="C28" s="406"/>
      <c r="D28" s="426" t="s">
        <v>202</v>
      </c>
      <c r="E28" s="427">
        <f aca="true" t="shared" si="12" ref="E28:E36">F28/1.2</f>
        <v>12.5</v>
      </c>
      <c r="F28" s="427">
        <v>15</v>
      </c>
      <c r="G28" s="427"/>
      <c r="H28" s="427">
        <f aca="true" t="shared" si="13" ref="H28:H37">E28*1.25</f>
        <v>15.625</v>
      </c>
      <c r="I28" s="427">
        <f aca="true" t="shared" si="14" ref="I28:I60">H28*1.2</f>
        <v>18.75</v>
      </c>
      <c r="J28" s="378">
        <v>15</v>
      </c>
      <c r="K28" s="379">
        <v>0.2</v>
      </c>
      <c r="L28" s="380"/>
      <c r="M28" s="394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  <c r="AH28" s="382"/>
      <c r="AI28" s="382"/>
      <c r="AJ28" s="382"/>
      <c r="AK28" s="382"/>
      <c r="AL28" s="383"/>
      <c r="AM28" s="384"/>
      <c r="AN28" s="384"/>
      <c r="AO28" s="405"/>
      <c r="AP28" s="397"/>
      <c r="AQ28" s="398"/>
      <c r="AR28" s="398"/>
      <c r="AS28" s="399"/>
      <c r="AT28" s="399"/>
      <c r="AU28" s="400"/>
      <c r="AV28" s="400"/>
      <c r="AW28" s="401"/>
      <c r="AX28" s="401"/>
      <c r="AY28" s="390"/>
      <c r="AZ28" s="391"/>
      <c r="BA28" s="355"/>
      <c r="BB28" s="375"/>
      <c r="BC28" s="375"/>
      <c r="BD28" s="86"/>
      <c r="BE28" s="86"/>
      <c r="BF28" s="392"/>
    </row>
    <row r="29" spans="1:58" ht="15.75" customHeight="1" hidden="1">
      <c r="A29" s="373"/>
      <c r="B29" s="406"/>
      <c r="C29" s="406"/>
      <c r="D29" s="417" t="s">
        <v>203</v>
      </c>
      <c r="E29" s="428">
        <f t="shared" si="12"/>
        <v>12.5</v>
      </c>
      <c r="F29" s="428">
        <v>15</v>
      </c>
      <c r="G29" s="428"/>
      <c r="H29" s="428">
        <f t="shared" si="13"/>
        <v>15.625</v>
      </c>
      <c r="I29" s="428">
        <f t="shared" si="14"/>
        <v>18.75</v>
      </c>
      <c r="J29" s="378">
        <v>15</v>
      </c>
      <c r="K29" s="379"/>
      <c r="L29" s="380"/>
      <c r="M29" s="394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2"/>
      <c r="AD29" s="382"/>
      <c r="AE29" s="382"/>
      <c r="AF29" s="382"/>
      <c r="AG29" s="382"/>
      <c r="AH29" s="382"/>
      <c r="AI29" s="382"/>
      <c r="AJ29" s="382"/>
      <c r="AK29" s="382"/>
      <c r="AL29" s="383"/>
      <c r="AM29" s="384"/>
      <c r="AN29" s="384"/>
      <c r="AO29" s="405"/>
      <c r="AP29" s="397"/>
      <c r="AQ29" s="398"/>
      <c r="AR29" s="398"/>
      <c r="AS29" s="399"/>
      <c r="AT29" s="399"/>
      <c r="AU29" s="400"/>
      <c r="AV29" s="400"/>
      <c r="AW29" s="401"/>
      <c r="AX29" s="401"/>
      <c r="AY29" s="390"/>
      <c r="AZ29" s="391"/>
      <c r="BA29" s="355"/>
      <c r="BB29" s="375"/>
      <c r="BC29" s="375"/>
      <c r="BD29" s="86"/>
      <c r="BE29" s="86"/>
      <c r="BF29" s="392"/>
    </row>
    <row r="30" spans="1:58" ht="15.75" customHeight="1" hidden="1">
      <c r="A30" s="373"/>
      <c r="B30" s="406"/>
      <c r="C30" s="406"/>
      <c r="D30" s="429" t="s">
        <v>204</v>
      </c>
      <c r="E30" s="430">
        <f t="shared" si="12"/>
        <v>12.5</v>
      </c>
      <c r="F30" s="430">
        <v>15</v>
      </c>
      <c r="G30" s="430"/>
      <c r="H30" s="430">
        <f t="shared" si="13"/>
        <v>15.625</v>
      </c>
      <c r="I30" s="430">
        <f t="shared" si="14"/>
        <v>18.75</v>
      </c>
      <c r="J30" s="378">
        <v>15</v>
      </c>
      <c r="K30" s="379"/>
      <c r="L30" s="380"/>
      <c r="M30" s="394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82"/>
      <c r="AD30" s="382"/>
      <c r="AE30" s="382"/>
      <c r="AF30" s="382"/>
      <c r="AG30" s="382"/>
      <c r="AH30" s="382"/>
      <c r="AI30" s="382"/>
      <c r="AJ30" s="382"/>
      <c r="AK30" s="382"/>
      <c r="AL30" s="383"/>
      <c r="AM30" s="384"/>
      <c r="AN30" s="384"/>
      <c r="AO30" s="405"/>
      <c r="AP30" s="397"/>
      <c r="AQ30" s="398"/>
      <c r="AR30" s="398"/>
      <c r="AS30" s="399"/>
      <c r="AT30" s="399"/>
      <c r="AU30" s="400"/>
      <c r="AV30" s="400"/>
      <c r="AW30" s="401"/>
      <c r="AX30" s="401"/>
      <c r="AY30" s="390"/>
      <c r="AZ30" s="391"/>
      <c r="BA30" s="355"/>
      <c r="BB30" s="375"/>
      <c r="BC30" s="375"/>
      <c r="BD30" s="86"/>
      <c r="BE30" s="86"/>
      <c r="BF30" s="392"/>
    </row>
    <row r="31" spans="1:59" ht="16.5" customHeight="1" hidden="1">
      <c r="A31" s="373" t="s">
        <v>205</v>
      </c>
      <c r="B31" s="431" t="s">
        <v>206</v>
      </c>
      <c r="C31" s="431"/>
      <c r="D31" s="432" t="s">
        <v>207</v>
      </c>
      <c r="E31" s="396">
        <f t="shared" si="12"/>
        <v>3.25</v>
      </c>
      <c r="F31" s="396">
        <v>3.9</v>
      </c>
      <c r="G31" s="396"/>
      <c r="H31" s="396">
        <f t="shared" si="13"/>
        <v>4.0625</v>
      </c>
      <c r="I31" s="396">
        <f t="shared" si="14"/>
        <v>4.875</v>
      </c>
      <c r="J31" s="433">
        <v>6.5</v>
      </c>
      <c r="K31" s="423">
        <v>0.2</v>
      </c>
      <c r="L31" s="380"/>
      <c r="M31" s="394"/>
      <c r="N31" s="382"/>
      <c r="O31" s="382"/>
      <c r="P31" s="382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2"/>
      <c r="AC31" s="382"/>
      <c r="AD31" s="382"/>
      <c r="AE31" s="382"/>
      <c r="AF31" s="382"/>
      <c r="AG31" s="382"/>
      <c r="AH31" s="382"/>
      <c r="AI31" s="382"/>
      <c r="AJ31" s="382"/>
      <c r="AK31" s="382"/>
      <c r="AL31" s="383"/>
      <c r="AM31" s="384"/>
      <c r="AN31" s="384"/>
      <c r="AO31" s="397"/>
      <c r="AP31" s="434"/>
      <c r="AQ31" s="398"/>
      <c r="AR31" s="398"/>
      <c r="AS31" s="399"/>
      <c r="AT31" s="399"/>
      <c r="AU31" s="400"/>
      <c r="AV31" s="400"/>
      <c r="AW31" s="401"/>
      <c r="AX31" s="401"/>
      <c r="AY31" s="390"/>
      <c r="AZ31" s="391"/>
      <c r="BA31" s="355"/>
      <c r="BB31" s="432" t="s">
        <v>207</v>
      </c>
      <c r="BC31" s="432"/>
      <c r="BD31" s="86">
        <f aca="true" t="shared" si="15" ref="BD31:BD38">M31+O31+Q31+S31+U31+W31+Y31+AA31+AC31+AE31+AG31+AI31+AK31</f>
        <v>0</v>
      </c>
      <c r="BE31" s="86">
        <f aca="true" t="shared" si="16" ref="BE31:BE38">AY31</f>
        <v>0</v>
      </c>
      <c r="BF31" s="392">
        <f aca="true" t="shared" si="17" ref="BF31:BF38">(BC31+BD31)-AY31</f>
        <v>0</v>
      </c>
      <c r="BG31">
        <f aca="true" t="shared" si="18" ref="BG31:BG38">IF(BF31&gt;=6,"Ok","Commande")</f>
        <v>0</v>
      </c>
    </row>
    <row r="32" spans="1:59" ht="15.75" customHeight="1" hidden="1">
      <c r="A32" s="373"/>
      <c r="B32" s="431"/>
      <c r="C32" s="435"/>
      <c r="D32" s="436" t="s">
        <v>208</v>
      </c>
      <c r="E32" s="396">
        <f t="shared" si="12"/>
        <v>3.75</v>
      </c>
      <c r="F32" s="396">
        <v>4.5</v>
      </c>
      <c r="G32" s="396"/>
      <c r="H32" s="396">
        <f t="shared" si="13"/>
        <v>4.6875</v>
      </c>
      <c r="I32" s="396">
        <f t="shared" si="14"/>
        <v>5.625</v>
      </c>
      <c r="J32" s="433">
        <v>5.9</v>
      </c>
      <c r="K32" s="423"/>
      <c r="L32" s="380"/>
      <c r="M32" s="394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2"/>
      <c r="AD32" s="382"/>
      <c r="AE32" s="382"/>
      <c r="AF32" s="382"/>
      <c r="AG32" s="382"/>
      <c r="AH32" s="382"/>
      <c r="AI32" s="382"/>
      <c r="AJ32" s="382"/>
      <c r="AK32" s="382"/>
      <c r="AL32" s="383"/>
      <c r="AM32" s="384"/>
      <c r="AN32" s="384"/>
      <c r="AO32" s="397"/>
      <c r="AP32" s="434"/>
      <c r="AQ32" s="398"/>
      <c r="AR32" s="398"/>
      <c r="AS32" s="399"/>
      <c r="AT32" s="399"/>
      <c r="AU32" s="400"/>
      <c r="AV32" s="400"/>
      <c r="AW32" s="401"/>
      <c r="AX32" s="401"/>
      <c r="AY32" s="390"/>
      <c r="AZ32" s="391"/>
      <c r="BA32" s="355"/>
      <c r="BB32" s="436" t="s">
        <v>208</v>
      </c>
      <c r="BC32" s="436"/>
      <c r="BD32" s="86">
        <f t="shared" si="15"/>
        <v>0</v>
      </c>
      <c r="BE32" s="86">
        <f t="shared" si="16"/>
        <v>0</v>
      </c>
      <c r="BF32" s="392">
        <f t="shared" si="17"/>
        <v>0</v>
      </c>
      <c r="BG32">
        <f t="shared" si="18"/>
        <v>0</v>
      </c>
    </row>
    <row r="33" spans="1:59" ht="15.75" customHeight="1" hidden="1">
      <c r="A33" s="373"/>
      <c r="B33" s="431"/>
      <c r="C33" s="437" t="s">
        <v>209</v>
      </c>
      <c r="D33" s="436" t="s">
        <v>210</v>
      </c>
      <c r="E33" s="396">
        <f t="shared" si="12"/>
        <v>1.6666666666666667</v>
      </c>
      <c r="F33" s="396">
        <v>2</v>
      </c>
      <c r="G33" s="396"/>
      <c r="H33" s="396">
        <f t="shared" si="13"/>
        <v>2.0833333333333335</v>
      </c>
      <c r="I33" s="396">
        <f t="shared" si="14"/>
        <v>2.5</v>
      </c>
      <c r="J33" s="433">
        <v>2.5</v>
      </c>
      <c r="K33" s="423"/>
      <c r="L33" s="380"/>
      <c r="M33" s="394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382"/>
      <c r="AJ33" s="382"/>
      <c r="AK33" s="382"/>
      <c r="AL33" s="383"/>
      <c r="AM33" s="384"/>
      <c r="AN33" s="384"/>
      <c r="AO33" s="397"/>
      <c r="AP33" s="434"/>
      <c r="AQ33" s="398"/>
      <c r="AR33" s="398"/>
      <c r="AS33" s="399"/>
      <c r="AT33" s="399"/>
      <c r="AU33" s="400"/>
      <c r="AV33" s="400"/>
      <c r="AW33" s="401"/>
      <c r="AX33" s="401"/>
      <c r="AY33" s="390"/>
      <c r="AZ33" s="391"/>
      <c r="BA33" s="355"/>
      <c r="BB33" s="436" t="s">
        <v>210</v>
      </c>
      <c r="BC33" s="436"/>
      <c r="BD33" s="86">
        <f t="shared" si="15"/>
        <v>0</v>
      </c>
      <c r="BE33" s="86">
        <f t="shared" si="16"/>
        <v>0</v>
      </c>
      <c r="BF33" s="392">
        <f t="shared" si="17"/>
        <v>0</v>
      </c>
      <c r="BG33">
        <f t="shared" si="18"/>
        <v>0</v>
      </c>
    </row>
    <row r="34" spans="1:59" ht="15.75" customHeight="1" hidden="1">
      <c r="A34" s="373"/>
      <c r="B34" s="431"/>
      <c r="C34" s="435"/>
      <c r="D34" s="436" t="s">
        <v>211</v>
      </c>
      <c r="E34" s="396">
        <f t="shared" si="12"/>
        <v>4.166666666666667</v>
      </c>
      <c r="F34" s="396">
        <v>5</v>
      </c>
      <c r="G34" s="396"/>
      <c r="H34" s="396">
        <f t="shared" si="13"/>
        <v>5.208333333333334</v>
      </c>
      <c r="I34" s="396">
        <f t="shared" si="14"/>
        <v>6.250000000000001</v>
      </c>
      <c r="J34" s="433">
        <v>8.9</v>
      </c>
      <c r="K34" s="423"/>
      <c r="L34" s="380"/>
      <c r="M34" s="394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2"/>
      <c r="AJ34" s="382"/>
      <c r="AK34" s="382"/>
      <c r="AL34" s="383"/>
      <c r="AM34" s="384"/>
      <c r="AN34" s="384"/>
      <c r="AO34" s="405"/>
      <c r="AP34" s="405"/>
      <c r="AQ34" s="398"/>
      <c r="AR34" s="398"/>
      <c r="AS34" s="399"/>
      <c r="AT34" s="399"/>
      <c r="AU34" s="400"/>
      <c r="AV34" s="400"/>
      <c r="AW34" s="401"/>
      <c r="AX34" s="401"/>
      <c r="AY34" s="390"/>
      <c r="AZ34" s="391"/>
      <c r="BA34" s="355"/>
      <c r="BB34" s="436" t="s">
        <v>211</v>
      </c>
      <c r="BC34" s="436"/>
      <c r="BD34" s="86">
        <f t="shared" si="15"/>
        <v>0</v>
      </c>
      <c r="BE34" s="86">
        <f t="shared" si="16"/>
        <v>0</v>
      </c>
      <c r="BF34" s="392">
        <f t="shared" si="17"/>
        <v>0</v>
      </c>
      <c r="BG34">
        <f t="shared" si="18"/>
        <v>0</v>
      </c>
    </row>
    <row r="35" spans="1:59" ht="15.75" customHeight="1" hidden="1">
      <c r="A35" s="373"/>
      <c r="B35" s="431"/>
      <c r="C35" s="435"/>
      <c r="D35" s="436" t="s">
        <v>212</v>
      </c>
      <c r="E35" s="396">
        <f t="shared" si="12"/>
        <v>5.833333333333334</v>
      </c>
      <c r="F35" s="396">
        <v>7</v>
      </c>
      <c r="G35" s="396"/>
      <c r="H35" s="396">
        <f t="shared" si="13"/>
        <v>7.291666666666668</v>
      </c>
      <c r="I35" s="396">
        <f t="shared" si="14"/>
        <v>8.750000000000002</v>
      </c>
      <c r="J35" s="433">
        <v>10.9</v>
      </c>
      <c r="K35" s="423"/>
      <c r="L35" s="380"/>
      <c r="M35" s="394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82"/>
      <c r="AD35" s="382"/>
      <c r="AE35" s="382"/>
      <c r="AF35" s="382"/>
      <c r="AG35" s="382"/>
      <c r="AH35" s="382"/>
      <c r="AI35" s="382"/>
      <c r="AJ35" s="382"/>
      <c r="AK35" s="382"/>
      <c r="AL35" s="383"/>
      <c r="AM35" s="384"/>
      <c r="AN35" s="384"/>
      <c r="AO35" s="397"/>
      <c r="AP35" s="434"/>
      <c r="AQ35" s="398"/>
      <c r="AR35" s="398"/>
      <c r="AS35" s="399"/>
      <c r="AT35" s="399"/>
      <c r="AU35" s="400"/>
      <c r="AV35" s="400"/>
      <c r="AW35" s="401"/>
      <c r="AX35" s="401"/>
      <c r="AY35" s="390"/>
      <c r="AZ35" s="391"/>
      <c r="BA35" s="355"/>
      <c r="BB35" s="436" t="s">
        <v>212</v>
      </c>
      <c r="BC35" s="436"/>
      <c r="BD35" s="86">
        <f t="shared" si="15"/>
        <v>0</v>
      </c>
      <c r="BE35" s="86">
        <f t="shared" si="16"/>
        <v>0</v>
      </c>
      <c r="BF35" s="392">
        <f t="shared" si="17"/>
        <v>0</v>
      </c>
      <c r="BG35">
        <f t="shared" si="18"/>
        <v>0</v>
      </c>
    </row>
    <row r="36" spans="1:59" ht="17.25" customHeight="1" hidden="1">
      <c r="A36" s="373"/>
      <c r="B36" s="431"/>
      <c r="C36" s="435"/>
      <c r="D36" s="436" t="s">
        <v>213</v>
      </c>
      <c r="E36" s="396">
        <f t="shared" si="12"/>
        <v>1.5</v>
      </c>
      <c r="F36" s="396">
        <v>1.8</v>
      </c>
      <c r="G36" s="396"/>
      <c r="H36" s="396">
        <f t="shared" si="13"/>
        <v>1.875</v>
      </c>
      <c r="I36" s="396">
        <f t="shared" si="14"/>
        <v>2.25</v>
      </c>
      <c r="J36" s="433">
        <v>3</v>
      </c>
      <c r="K36" s="423"/>
      <c r="L36" s="380"/>
      <c r="M36" s="394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83"/>
      <c r="AM36" s="384"/>
      <c r="AN36" s="384"/>
      <c r="AO36" s="397"/>
      <c r="AP36" s="434"/>
      <c r="AQ36" s="398"/>
      <c r="AR36" s="398"/>
      <c r="AS36" s="399"/>
      <c r="AT36" s="399"/>
      <c r="AU36" s="400"/>
      <c r="AV36" s="400"/>
      <c r="AW36" s="401"/>
      <c r="AX36" s="401"/>
      <c r="AY36" s="390"/>
      <c r="AZ36" s="391"/>
      <c r="BA36" s="355"/>
      <c r="BB36" s="436" t="s">
        <v>213</v>
      </c>
      <c r="BC36" s="436"/>
      <c r="BD36" s="86">
        <f t="shared" si="15"/>
        <v>0</v>
      </c>
      <c r="BE36" s="86">
        <f t="shared" si="16"/>
        <v>0</v>
      </c>
      <c r="BF36" s="392">
        <f t="shared" si="17"/>
        <v>0</v>
      </c>
      <c r="BG36">
        <f t="shared" si="18"/>
        <v>0</v>
      </c>
    </row>
    <row r="37" spans="1:59" ht="16.5" customHeight="1" hidden="1">
      <c r="A37" s="373"/>
      <c r="B37" s="374" t="s">
        <v>214</v>
      </c>
      <c r="C37" s="374"/>
      <c r="D37" s="375" t="s">
        <v>215</v>
      </c>
      <c r="E37" s="377">
        <v>4.5</v>
      </c>
      <c r="F37" s="377">
        <f>E37*0.25</f>
        <v>1.125</v>
      </c>
      <c r="G37" s="377"/>
      <c r="H37" s="377">
        <f t="shared" si="13"/>
        <v>5.625</v>
      </c>
      <c r="I37" s="438">
        <f t="shared" si="14"/>
        <v>6.75</v>
      </c>
      <c r="J37" s="378">
        <v>9.9</v>
      </c>
      <c r="K37" s="423"/>
      <c r="L37" s="380"/>
      <c r="M37" s="394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2"/>
      <c r="AD37" s="382"/>
      <c r="AE37" s="382"/>
      <c r="AF37" s="382"/>
      <c r="AG37" s="382"/>
      <c r="AH37" s="382"/>
      <c r="AI37" s="382"/>
      <c r="AJ37" s="382"/>
      <c r="AK37" s="382"/>
      <c r="AL37" s="383"/>
      <c r="AM37" s="384"/>
      <c r="AN37" s="384"/>
      <c r="AO37" s="405"/>
      <c r="AP37" s="405"/>
      <c r="AQ37" s="398"/>
      <c r="AR37" s="398"/>
      <c r="AS37" s="399"/>
      <c r="AT37" s="399"/>
      <c r="AU37" s="400"/>
      <c r="AV37" s="400"/>
      <c r="AW37" s="401"/>
      <c r="AX37" s="401"/>
      <c r="AY37" s="390"/>
      <c r="AZ37" s="391"/>
      <c r="BA37" s="355"/>
      <c r="BB37" s="375" t="s">
        <v>215</v>
      </c>
      <c r="BC37" s="375"/>
      <c r="BD37" s="86">
        <f t="shared" si="15"/>
        <v>0</v>
      </c>
      <c r="BE37" s="86">
        <f t="shared" si="16"/>
        <v>0</v>
      </c>
      <c r="BF37" s="392">
        <f t="shared" si="17"/>
        <v>0</v>
      </c>
      <c r="BG37">
        <f t="shared" si="18"/>
        <v>0</v>
      </c>
    </row>
    <row r="38" spans="1:59" ht="15.75" customHeight="1">
      <c r="A38" s="373"/>
      <c r="B38" s="374" t="s">
        <v>216</v>
      </c>
      <c r="C38" s="374"/>
      <c r="D38" s="375" t="s">
        <v>217</v>
      </c>
      <c r="E38" s="377">
        <v>5</v>
      </c>
      <c r="F38" s="377">
        <f>E38*0.8</f>
        <v>4</v>
      </c>
      <c r="G38" s="379">
        <f aca="true" t="shared" si="19" ref="G38:G54">F38/E38</f>
        <v>0.8</v>
      </c>
      <c r="H38" s="377">
        <f>E38*1.8</f>
        <v>9</v>
      </c>
      <c r="I38" s="377">
        <f t="shared" si="14"/>
        <v>10.799999999999999</v>
      </c>
      <c r="J38" s="378">
        <v>11</v>
      </c>
      <c r="K38" s="423"/>
      <c r="L38" s="380"/>
      <c r="M38" s="394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2"/>
      <c r="AJ38" s="382"/>
      <c r="AK38" s="382"/>
      <c r="AL38" s="383"/>
      <c r="AM38" s="384"/>
      <c r="AN38" s="384"/>
      <c r="AO38" s="405"/>
      <c r="AP38" s="405"/>
      <c r="AQ38" s="414"/>
      <c r="AR38" s="414"/>
      <c r="AS38" s="415"/>
      <c r="AT38" s="415"/>
      <c r="AU38" s="412"/>
      <c r="AV38" s="412"/>
      <c r="AW38" s="413"/>
      <c r="AX38" s="413"/>
      <c r="AY38" s="390"/>
      <c r="AZ38" s="391"/>
      <c r="BA38" s="355"/>
      <c r="BB38" s="375" t="s">
        <v>217</v>
      </c>
      <c r="BC38" s="375"/>
      <c r="BD38" s="86">
        <f t="shared" si="15"/>
        <v>0</v>
      </c>
      <c r="BE38" s="86">
        <f t="shared" si="16"/>
        <v>0</v>
      </c>
      <c r="BF38" s="392">
        <f t="shared" si="17"/>
        <v>0</v>
      </c>
      <c r="BG38">
        <f t="shared" si="18"/>
        <v>0</v>
      </c>
    </row>
    <row r="39" spans="1:58" ht="15.75" customHeight="1">
      <c r="A39" s="373"/>
      <c r="B39" s="374"/>
      <c r="C39" s="374"/>
      <c r="D39" s="375" t="s">
        <v>218</v>
      </c>
      <c r="E39" s="377">
        <v>7.78</v>
      </c>
      <c r="F39" s="377">
        <f>E39*0.61</f>
        <v>4.7458</v>
      </c>
      <c r="G39" s="379">
        <f t="shared" si="19"/>
        <v>0.61</v>
      </c>
      <c r="H39" s="377">
        <f>E39*1.61</f>
        <v>12.525800000000002</v>
      </c>
      <c r="I39" s="377">
        <f t="shared" si="14"/>
        <v>15.030960000000002</v>
      </c>
      <c r="J39" s="378">
        <v>15</v>
      </c>
      <c r="K39" s="423"/>
      <c r="L39" s="380"/>
      <c r="M39" s="394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382"/>
      <c r="AJ39" s="382"/>
      <c r="AK39" s="382"/>
      <c r="AL39" s="383"/>
      <c r="AM39" s="384"/>
      <c r="AN39" s="384"/>
      <c r="AO39" s="405"/>
      <c r="AP39" s="405"/>
      <c r="AQ39" s="414"/>
      <c r="AR39" s="414"/>
      <c r="AS39" s="415"/>
      <c r="AT39" s="415"/>
      <c r="AU39" s="412"/>
      <c r="AV39" s="412"/>
      <c r="AW39" s="413"/>
      <c r="AX39" s="413"/>
      <c r="AY39" s="390"/>
      <c r="AZ39" s="391"/>
      <c r="BA39" s="355"/>
      <c r="BB39" s="375"/>
      <c r="BC39" s="375"/>
      <c r="BD39" s="86"/>
      <c r="BE39" s="86"/>
      <c r="BF39" s="392"/>
    </row>
    <row r="40" spans="1:58" ht="15.75" customHeight="1">
      <c r="A40" s="373"/>
      <c r="B40" s="374"/>
      <c r="C40" s="374"/>
      <c r="D40" s="375" t="s">
        <v>219</v>
      </c>
      <c r="E40" s="377">
        <v>6.25</v>
      </c>
      <c r="F40" s="377">
        <f>E40*0.73</f>
        <v>4.5625</v>
      </c>
      <c r="G40" s="379">
        <f t="shared" si="19"/>
        <v>0.73</v>
      </c>
      <c r="H40" s="377">
        <f>E40*1.73</f>
        <v>10.8125</v>
      </c>
      <c r="I40" s="377">
        <f t="shared" si="14"/>
        <v>12.975</v>
      </c>
      <c r="J40" s="378">
        <v>13</v>
      </c>
      <c r="K40" s="423"/>
      <c r="L40" s="380"/>
      <c r="M40" s="394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2"/>
      <c r="AJ40" s="382"/>
      <c r="AK40" s="382"/>
      <c r="AL40" s="383"/>
      <c r="AM40" s="384"/>
      <c r="AN40" s="384"/>
      <c r="AO40" s="405"/>
      <c r="AP40" s="405"/>
      <c r="AQ40" s="414"/>
      <c r="AR40" s="414"/>
      <c r="AS40" s="415"/>
      <c r="AT40" s="415"/>
      <c r="AU40" s="412"/>
      <c r="AV40" s="412"/>
      <c r="AW40" s="413"/>
      <c r="AX40" s="413"/>
      <c r="AY40" s="390"/>
      <c r="AZ40" s="391"/>
      <c r="BA40" s="355"/>
      <c r="BB40" s="375"/>
      <c r="BC40" s="375"/>
      <c r="BD40" s="86"/>
      <c r="BE40" s="86"/>
      <c r="BF40" s="392"/>
    </row>
    <row r="41" spans="1:58" ht="15.75" customHeight="1">
      <c r="A41" s="373"/>
      <c r="B41" s="374"/>
      <c r="C41" s="374"/>
      <c r="D41" s="375" t="s">
        <v>220</v>
      </c>
      <c r="E41" s="377">
        <v>3</v>
      </c>
      <c r="F41" s="377">
        <f>E41*1</f>
        <v>3</v>
      </c>
      <c r="G41" s="379">
        <f t="shared" si="19"/>
        <v>1</v>
      </c>
      <c r="H41" s="377">
        <f>E41*2</f>
        <v>6</v>
      </c>
      <c r="I41" s="377">
        <f t="shared" si="14"/>
        <v>7.199999999999999</v>
      </c>
      <c r="J41" s="378">
        <v>7.5</v>
      </c>
      <c r="K41" s="423"/>
      <c r="L41" s="380"/>
      <c r="M41" s="394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2"/>
      <c r="AK41" s="382"/>
      <c r="AL41" s="383"/>
      <c r="AM41" s="384"/>
      <c r="AN41" s="384"/>
      <c r="AO41" s="405"/>
      <c r="AP41" s="405"/>
      <c r="AQ41" s="414"/>
      <c r="AR41" s="414"/>
      <c r="AS41" s="415"/>
      <c r="AT41" s="415"/>
      <c r="AU41" s="412"/>
      <c r="AV41" s="412"/>
      <c r="AW41" s="413"/>
      <c r="AX41" s="413"/>
      <c r="AY41" s="390"/>
      <c r="AZ41" s="391"/>
      <c r="BA41" s="355"/>
      <c r="BB41" s="375"/>
      <c r="BC41" s="375"/>
      <c r="BD41" s="86"/>
      <c r="BE41" s="86"/>
      <c r="BF41" s="392"/>
    </row>
    <row r="42" spans="1:58" ht="15.75" customHeight="1">
      <c r="A42" s="373"/>
      <c r="B42" s="374"/>
      <c r="C42" s="374"/>
      <c r="D42" s="439" t="s">
        <v>221</v>
      </c>
      <c r="E42" s="377">
        <v>3.69</v>
      </c>
      <c r="F42" s="377">
        <f>E42*0.78</f>
        <v>2.8782</v>
      </c>
      <c r="G42" s="379">
        <f t="shared" si="19"/>
        <v>0.78</v>
      </c>
      <c r="H42" s="377">
        <f>E42*1.78</f>
        <v>6.5682</v>
      </c>
      <c r="I42" s="377">
        <f t="shared" si="14"/>
        <v>7.8818399999999995</v>
      </c>
      <c r="J42" s="378">
        <v>7.9</v>
      </c>
      <c r="K42" s="423"/>
      <c r="L42" s="380"/>
      <c r="M42" s="394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383"/>
      <c r="AM42" s="384"/>
      <c r="AN42" s="384"/>
      <c r="AO42" s="405"/>
      <c r="AP42" s="405"/>
      <c r="AQ42" s="414"/>
      <c r="AR42" s="414"/>
      <c r="AS42" s="415"/>
      <c r="AT42" s="415"/>
      <c r="AU42" s="412"/>
      <c r="AV42" s="412"/>
      <c r="AW42" s="413"/>
      <c r="AX42" s="413"/>
      <c r="AY42" s="390"/>
      <c r="AZ42" s="391"/>
      <c r="BA42" s="355"/>
      <c r="BB42" s="375"/>
      <c r="BC42" s="375"/>
      <c r="BD42" s="86"/>
      <c r="BE42" s="86"/>
      <c r="BF42" s="392"/>
    </row>
    <row r="43" spans="1:59" ht="15.75" customHeight="1">
      <c r="A43" s="373"/>
      <c r="B43" s="435" t="s">
        <v>222</v>
      </c>
      <c r="C43" s="435"/>
      <c r="D43" s="375" t="s">
        <v>223</v>
      </c>
      <c r="E43" s="377">
        <v>2.45</v>
      </c>
      <c r="F43" s="377">
        <f>E43*0.77</f>
        <v>1.8865000000000003</v>
      </c>
      <c r="G43" s="379">
        <f t="shared" si="19"/>
        <v>0.77</v>
      </c>
      <c r="H43" s="377">
        <f>E43*1.77</f>
        <v>4.3365</v>
      </c>
      <c r="I43" s="377">
        <f t="shared" si="14"/>
        <v>5.2038</v>
      </c>
      <c r="J43" s="378">
        <v>5.2</v>
      </c>
      <c r="K43" s="423"/>
      <c r="L43" s="380"/>
      <c r="M43" s="394"/>
      <c r="N43" s="382"/>
      <c r="O43" s="382"/>
      <c r="P43" s="382"/>
      <c r="Q43" s="382"/>
      <c r="R43" s="382"/>
      <c r="S43" s="382"/>
      <c r="T43" s="382"/>
      <c r="U43" s="382"/>
      <c r="V43" s="382"/>
      <c r="W43" s="382"/>
      <c r="X43" s="382"/>
      <c r="Y43" s="382"/>
      <c r="Z43" s="382"/>
      <c r="AA43" s="382"/>
      <c r="AB43" s="382"/>
      <c r="AC43" s="382"/>
      <c r="AD43" s="382"/>
      <c r="AE43" s="382"/>
      <c r="AF43" s="382"/>
      <c r="AG43" s="382"/>
      <c r="AH43" s="382"/>
      <c r="AI43" s="382"/>
      <c r="AJ43" s="382"/>
      <c r="AK43" s="382"/>
      <c r="AL43" s="383"/>
      <c r="AM43" s="384"/>
      <c r="AN43" s="384"/>
      <c r="AO43" s="397"/>
      <c r="AP43" s="397"/>
      <c r="AQ43" s="414"/>
      <c r="AR43" s="414"/>
      <c r="AS43" s="415"/>
      <c r="AT43" s="415"/>
      <c r="AU43" s="440"/>
      <c r="AV43" s="440"/>
      <c r="AW43" s="413"/>
      <c r="AX43" s="413"/>
      <c r="AY43" s="390"/>
      <c r="AZ43" s="391"/>
      <c r="BA43" s="355"/>
      <c r="BB43" s="375" t="s">
        <v>222</v>
      </c>
      <c r="BC43" s="376"/>
      <c r="BD43" s="86">
        <f aca="true" t="shared" si="20" ref="BD43:BD44">M43+O43+Q43+S43+U43+W43+Y43+AA43+AC43+AE43+AG43+AI43+AK43</f>
        <v>0</v>
      </c>
      <c r="BE43" s="86">
        <f aca="true" t="shared" si="21" ref="BE43:BE44">AY43</f>
        <v>0</v>
      </c>
      <c r="BF43" s="392">
        <f aca="true" t="shared" si="22" ref="BF43:BF44">(BC43+BD43)-AY43</f>
        <v>0</v>
      </c>
      <c r="BG43">
        <f aca="true" t="shared" si="23" ref="BG43:BG44">IF(BF43&gt;=6,"Ok","Commande")</f>
        <v>0</v>
      </c>
    </row>
    <row r="44" spans="1:59" ht="15.75" customHeight="1">
      <c r="A44" s="373"/>
      <c r="B44" s="435" t="s">
        <v>224</v>
      </c>
      <c r="C44" s="435"/>
      <c r="D44" s="375" t="s">
        <v>225</v>
      </c>
      <c r="E44" s="377">
        <v>1.25</v>
      </c>
      <c r="F44" s="377">
        <f>E44*0.65</f>
        <v>0.8125</v>
      </c>
      <c r="G44" s="379">
        <f t="shared" si="19"/>
        <v>0.65</v>
      </c>
      <c r="H44" s="377">
        <f>E44*1.65</f>
        <v>2.0625</v>
      </c>
      <c r="I44" s="377">
        <f t="shared" si="14"/>
        <v>2.475</v>
      </c>
      <c r="J44" s="378">
        <v>2.5</v>
      </c>
      <c r="K44" s="423"/>
      <c r="L44" s="380"/>
      <c r="M44" s="394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382"/>
      <c r="Y44" s="382"/>
      <c r="Z44" s="382"/>
      <c r="AA44" s="382"/>
      <c r="AB44" s="382"/>
      <c r="AC44" s="382"/>
      <c r="AD44" s="382"/>
      <c r="AE44" s="382"/>
      <c r="AF44" s="382"/>
      <c r="AG44" s="382"/>
      <c r="AH44" s="382"/>
      <c r="AI44" s="382"/>
      <c r="AJ44" s="382"/>
      <c r="AK44" s="382"/>
      <c r="AL44" s="383"/>
      <c r="AM44" s="384"/>
      <c r="AN44" s="384"/>
      <c r="AO44" s="397"/>
      <c r="AP44" s="397"/>
      <c r="AQ44" s="414"/>
      <c r="AR44" s="414"/>
      <c r="AS44" s="415"/>
      <c r="AT44" s="415"/>
      <c r="AU44" s="412"/>
      <c r="AV44" s="412"/>
      <c r="AW44" s="413"/>
      <c r="AX44" s="413"/>
      <c r="AY44" s="390"/>
      <c r="AZ44" s="391"/>
      <c r="BA44" s="355"/>
      <c r="BB44" s="375" t="s">
        <v>225</v>
      </c>
      <c r="BC44" s="375"/>
      <c r="BD44" s="86">
        <f t="shared" si="20"/>
        <v>0</v>
      </c>
      <c r="BE44" s="86">
        <f t="shared" si="21"/>
        <v>0</v>
      </c>
      <c r="BF44" s="392">
        <f t="shared" si="22"/>
        <v>0</v>
      </c>
      <c r="BG44">
        <f t="shared" si="23"/>
        <v>0</v>
      </c>
    </row>
    <row r="45" spans="1:58" ht="15.75" customHeight="1">
      <c r="A45" s="373"/>
      <c r="B45" s="435"/>
      <c r="C45" s="435"/>
      <c r="D45" s="375" t="s">
        <v>226</v>
      </c>
      <c r="E45" s="377">
        <v>1.5</v>
      </c>
      <c r="F45" s="377">
        <f>E45*0.66</f>
        <v>0.99</v>
      </c>
      <c r="G45" s="379">
        <f t="shared" si="19"/>
        <v>0.66</v>
      </c>
      <c r="H45" s="377">
        <f>E45*1.66</f>
        <v>2.4899999999999998</v>
      </c>
      <c r="I45" s="377">
        <f t="shared" si="14"/>
        <v>2.9879999999999995</v>
      </c>
      <c r="J45" s="378">
        <v>3</v>
      </c>
      <c r="K45" s="423"/>
      <c r="L45" s="380"/>
      <c r="M45" s="394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2"/>
      <c r="AB45" s="382"/>
      <c r="AC45" s="382"/>
      <c r="AD45" s="382"/>
      <c r="AE45" s="382"/>
      <c r="AF45" s="382"/>
      <c r="AG45" s="382"/>
      <c r="AH45" s="382"/>
      <c r="AI45" s="382"/>
      <c r="AJ45" s="382"/>
      <c r="AK45" s="382"/>
      <c r="AL45" s="383"/>
      <c r="AM45" s="384"/>
      <c r="AN45" s="384"/>
      <c r="AO45" s="397"/>
      <c r="AP45" s="397"/>
      <c r="AQ45" s="414"/>
      <c r="AR45" s="414"/>
      <c r="AS45" s="415"/>
      <c r="AT45" s="415"/>
      <c r="AU45" s="412"/>
      <c r="AV45" s="412"/>
      <c r="AW45" s="413"/>
      <c r="AX45" s="413"/>
      <c r="AY45" s="390"/>
      <c r="AZ45" s="391"/>
      <c r="BA45" s="355"/>
      <c r="BB45" s="375"/>
      <c r="BC45" s="375"/>
      <c r="BD45" s="86"/>
      <c r="BE45" s="86"/>
      <c r="BF45" s="392"/>
    </row>
    <row r="46" spans="1:58" ht="15.75" customHeight="1">
      <c r="A46" s="373"/>
      <c r="B46" s="435"/>
      <c r="C46" s="435"/>
      <c r="D46" s="441" t="s">
        <v>227</v>
      </c>
      <c r="E46" s="442">
        <v>0.4</v>
      </c>
      <c r="F46" s="442">
        <f>E46*2.1</f>
        <v>0.8400000000000001</v>
      </c>
      <c r="G46" s="443">
        <f t="shared" si="19"/>
        <v>2.1</v>
      </c>
      <c r="H46" s="442">
        <f>F46+E46</f>
        <v>1.2400000000000002</v>
      </c>
      <c r="I46" s="444">
        <f t="shared" si="14"/>
        <v>1.4880000000000002</v>
      </c>
      <c r="J46" s="442">
        <v>1.5</v>
      </c>
      <c r="K46" s="423"/>
      <c r="L46" s="380"/>
      <c r="M46" s="394"/>
      <c r="N46" s="382"/>
      <c r="O46" s="382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  <c r="AB46" s="382"/>
      <c r="AC46" s="382"/>
      <c r="AD46" s="382"/>
      <c r="AE46" s="382"/>
      <c r="AF46" s="382"/>
      <c r="AG46" s="382"/>
      <c r="AH46" s="382"/>
      <c r="AI46" s="382"/>
      <c r="AJ46" s="382"/>
      <c r="AK46" s="382"/>
      <c r="AL46" s="383"/>
      <c r="AM46" s="384"/>
      <c r="AN46" s="384"/>
      <c r="AO46" s="397"/>
      <c r="AP46" s="397"/>
      <c r="AQ46" s="414"/>
      <c r="AR46" s="414"/>
      <c r="AS46" s="415"/>
      <c r="AT46" s="415"/>
      <c r="AU46" s="412"/>
      <c r="AV46" s="412"/>
      <c r="AW46" s="413"/>
      <c r="AX46" s="413"/>
      <c r="AY46" s="390"/>
      <c r="AZ46" s="391"/>
      <c r="BA46" s="355"/>
      <c r="BB46" s="375"/>
      <c r="BC46" s="375"/>
      <c r="BD46" s="86"/>
      <c r="BE46" s="86"/>
      <c r="BF46" s="392"/>
    </row>
    <row r="47" spans="1:59" ht="15.75" customHeight="1">
      <c r="A47" s="373"/>
      <c r="B47" s="435" t="s">
        <v>228</v>
      </c>
      <c r="C47" s="435"/>
      <c r="D47" s="375" t="s">
        <v>229</v>
      </c>
      <c r="E47" s="377">
        <v>2.85</v>
      </c>
      <c r="F47" s="377">
        <f aca="true" t="shared" si="24" ref="F47:F48">E47*0.43</f>
        <v>1.2255</v>
      </c>
      <c r="G47" s="379">
        <f t="shared" si="19"/>
        <v>0.43</v>
      </c>
      <c r="H47" s="377">
        <f aca="true" t="shared" si="25" ref="H47:H48">E47*1.43</f>
        <v>4.0755</v>
      </c>
      <c r="I47" s="445">
        <f t="shared" si="14"/>
        <v>4.8906</v>
      </c>
      <c r="J47" s="378">
        <v>4.9</v>
      </c>
      <c r="K47" s="423"/>
      <c r="L47" s="380"/>
      <c r="M47" s="394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382"/>
      <c r="AB47" s="382"/>
      <c r="AC47" s="382"/>
      <c r="AD47" s="382"/>
      <c r="AE47" s="382"/>
      <c r="AF47" s="382"/>
      <c r="AG47" s="382"/>
      <c r="AH47" s="382"/>
      <c r="AI47" s="382"/>
      <c r="AJ47" s="382"/>
      <c r="AK47" s="382"/>
      <c r="AL47" s="383"/>
      <c r="AM47" s="384"/>
      <c r="AN47" s="384"/>
      <c r="AO47" s="397"/>
      <c r="AP47" s="397"/>
      <c r="AQ47" s="410"/>
      <c r="AR47" s="410"/>
      <c r="AS47" s="415"/>
      <c r="AT47" s="415"/>
      <c r="AU47" s="412"/>
      <c r="AV47" s="412"/>
      <c r="AW47" s="413"/>
      <c r="AX47" s="413"/>
      <c r="AY47" s="390"/>
      <c r="AZ47" s="391"/>
      <c r="BA47" s="355"/>
      <c r="BB47" s="375" t="s">
        <v>229</v>
      </c>
      <c r="BC47" s="375"/>
      <c r="BD47" s="86">
        <f aca="true" t="shared" si="26" ref="BD47:BD50">M47+O47+Q47+S47+U47+W47+Y47+AA47+AC47+AE47+AG47+AI47+AK47</f>
        <v>0</v>
      </c>
      <c r="BE47" s="86">
        <f aca="true" t="shared" si="27" ref="BE47:BE50">AY47</f>
        <v>0</v>
      </c>
      <c r="BF47" s="392">
        <f aca="true" t="shared" si="28" ref="BF47:BF50">(BC47+BD47)-AY47</f>
        <v>0</v>
      </c>
      <c r="BG47">
        <f aca="true" t="shared" si="29" ref="BG47:BG50">IF(BF47&gt;=6,"Ok","Commande")</f>
        <v>0</v>
      </c>
    </row>
    <row r="48" spans="1:59" ht="15.75" customHeight="1">
      <c r="A48" s="373"/>
      <c r="B48" s="435"/>
      <c r="C48" s="435"/>
      <c r="D48" s="446" t="s">
        <v>230</v>
      </c>
      <c r="E48" s="447">
        <v>2.85</v>
      </c>
      <c r="F48" s="447">
        <f t="shared" si="24"/>
        <v>1.2255</v>
      </c>
      <c r="G48" s="448">
        <f t="shared" si="19"/>
        <v>0.43</v>
      </c>
      <c r="H48" s="447">
        <f t="shared" si="25"/>
        <v>4.0755</v>
      </c>
      <c r="I48" s="449">
        <f t="shared" si="14"/>
        <v>4.8906</v>
      </c>
      <c r="J48" s="450">
        <v>4.9</v>
      </c>
      <c r="K48" s="423"/>
      <c r="L48" s="380"/>
      <c r="M48" s="394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2"/>
      <c r="AJ48" s="382"/>
      <c r="AK48" s="382"/>
      <c r="AL48" s="383"/>
      <c r="AM48" s="384"/>
      <c r="AN48" s="384"/>
      <c r="AO48" s="397"/>
      <c r="AP48" s="397"/>
      <c r="AQ48" s="414"/>
      <c r="AR48" s="414"/>
      <c r="AS48" s="415"/>
      <c r="AT48" s="415"/>
      <c r="AU48" s="412"/>
      <c r="AV48" s="412"/>
      <c r="AW48" s="413"/>
      <c r="AX48" s="413"/>
      <c r="AY48" s="390"/>
      <c r="AZ48" s="391"/>
      <c r="BA48" s="355"/>
      <c r="BB48" s="375" t="s">
        <v>230</v>
      </c>
      <c r="BC48" s="375"/>
      <c r="BD48" s="86">
        <f t="shared" si="26"/>
        <v>0</v>
      </c>
      <c r="BE48" s="86">
        <f t="shared" si="27"/>
        <v>0</v>
      </c>
      <c r="BF48" s="392">
        <f t="shared" si="28"/>
        <v>0</v>
      </c>
      <c r="BG48">
        <f t="shared" si="29"/>
        <v>0</v>
      </c>
    </row>
    <row r="49" spans="1:59" ht="15.75" customHeight="1">
      <c r="A49" s="373"/>
      <c r="B49" s="435" t="s">
        <v>231</v>
      </c>
      <c r="C49" s="435"/>
      <c r="D49" s="441" t="s">
        <v>231</v>
      </c>
      <c r="E49" s="442">
        <v>1.5</v>
      </c>
      <c r="F49" s="442">
        <f>E49*1.2</f>
        <v>1.7999999999999998</v>
      </c>
      <c r="G49" s="443">
        <f t="shared" si="19"/>
        <v>1.2</v>
      </c>
      <c r="H49" s="442">
        <f aca="true" t="shared" si="30" ref="H49:H51">E49+F49</f>
        <v>3.3</v>
      </c>
      <c r="I49" s="444">
        <f t="shared" si="14"/>
        <v>3.9599999999999995</v>
      </c>
      <c r="J49" s="442">
        <v>4</v>
      </c>
      <c r="K49" s="423"/>
      <c r="L49" s="380"/>
      <c r="M49" s="394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2"/>
      <c r="AH49" s="382"/>
      <c r="AI49" s="382"/>
      <c r="AJ49" s="382"/>
      <c r="AK49" s="382"/>
      <c r="AL49" s="383"/>
      <c r="AM49" s="384"/>
      <c r="AN49" s="384"/>
      <c r="AO49" s="397"/>
      <c r="AP49" s="397"/>
      <c r="AQ49" s="414"/>
      <c r="AR49" s="414"/>
      <c r="AS49" s="415"/>
      <c r="AT49" s="415"/>
      <c r="AU49" s="440"/>
      <c r="AV49" s="440"/>
      <c r="AW49" s="413"/>
      <c r="AX49" s="413"/>
      <c r="AY49" s="390"/>
      <c r="AZ49" s="391"/>
      <c r="BA49" s="355"/>
      <c r="BB49" s="451" t="s">
        <v>231</v>
      </c>
      <c r="BC49" s="451"/>
      <c r="BD49" s="86">
        <f t="shared" si="26"/>
        <v>0</v>
      </c>
      <c r="BE49" s="86">
        <f t="shared" si="27"/>
        <v>0</v>
      </c>
      <c r="BF49" s="392">
        <f t="shared" si="28"/>
        <v>0</v>
      </c>
      <c r="BG49">
        <f t="shared" si="29"/>
        <v>0</v>
      </c>
    </row>
    <row r="50" spans="1:59" ht="23.25" customHeight="1">
      <c r="A50" s="373"/>
      <c r="B50" s="435" t="s">
        <v>172</v>
      </c>
      <c r="C50" s="435" t="s">
        <v>232</v>
      </c>
      <c r="D50" s="441" t="s">
        <v>233</v>
      </c>
      <c r="E50" s="442">
        <v>1</v>
      </c>
      <c r="F50" s="442">
        <f aca="true" t="shared" si="31" ref="F50:F51">E50*1.1</f>
        <v>1.1</v>
      </c>
      <c r="G50" s="443">
        <f t="shared" si="19"/>
        <v>1.1</v>
      </c>
      <c r="H50" s="442">
        <f t="shared" si="30"/>
        <v>2.1</v>
      </c>
      <c r="I50" s="444">
        <f t="shared" si="14"/>
        <v>2.52</v>
      </c>
      <c r="J50" s="442">
        <v>2.5</v>
      </c>
      <c r="K50" s="423"/>
      <c r="L50" s="380"/>
      <c r="M50" s="394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2"/>
      <c r="Y50" s="382"/>
      <c r="Z50" s="382"/>
      <c r="AA50" s="382"/>
      <c r="AB50" s="382"/>
      <c r="AC50" s="382"/>
      <c r="AD50" s="382"/>
      <c r="AE50" s="382"/>
      <c r="AF50" s="382"/>
      <c r="AG50" s="382"/>
      <c r="AH50" s="382"/>
      <c r="AI50" s="382"/>
      <c r="AJ50" s="382"/>
      <c r="AK50" s="382"/>
      <c r="AL50" s="383"/>
      <c r="AM50" s="384"/>
      <c r="AN50" s="384"/>
      <c r="AO50" s="397"/>
      <c r="AP50" s="397"/>
      <c r="AQ50" s="414"/>
      <c r="AR50" s="414"/>
      <c r="AS50" s="415"/>
      <c r="AT50" s="415"/>
      <c r="AU50" s="440"/>
      <c r="AV50" s="440"/>
      <c r="AW50" s="413"/>
      <c r="AX50" s="413"/>
      <c r="AY50" s="390"/>
      <c r="AZ50" s="391"/>
      <c r="BA50" s="355"/>
      <c r="BB50" s="375" t="s">
        <v>233</v>
      </c>
      <c r="BC50" s="375"/>
      <c r="BD50" s="86">
        <f t="shared" si="26"/>
        <v>0</v>
      </c>
      <c r="BE50" s="86">
        <f t="shared" si="27"/>
        <v>0</v>
      </c>
      <c r="BF50" s="392">
        <f t="shared" si="28"/>
        <v>0</v>
      </c>
      <c r="BG50">
        <f t="shared" si="29"/>
        <v>0</v>
      </c>
    </row>
    <row r="51" spans="1:58" ht="23.25" customHeight="1">
      <c r="A51" s="373"/>
      <c r="B51" s="435"/>
      <c r="C51" s="435"/>
      <c r="D51" s="441" t="s">
        <v>234</v>
      </c>
      <c r="E51" s="442">
        <v>1</v>
      </c>
      <c r="F51" s="442">
        <f t="shared" si="31"/>
        <v>1.1</v>
      </c>
      <c r="G51" s="443">
        <f t="shared" si="19"/>
        <v>1.1</v>
      </c>
      <c r="H51" s="442">
        <f t="shared" si="30"/>
        <v>2.1</v>
      </c>
      <c r="I51" s="444">
        <f t="shared" si="14"/>
        <v>2.52</v>
      </c>
      <c r="J51" s="442">
        <v>2.5</v>
      </c>
      <c r="K51" s="423"/>
      <c r="L51" s="380"/>
      <c r="M51" s="394"/>
      <c r="N51" s="382"/>
      <c r="O51" s="382"/>
      <c r="P51" s="382"/>
      <c r="Q51" s="382"/>
      <c r="R51" s="382"/>
      <c r="S51" s="382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2"/>
      <c r="AJ51" s="382"/>
      <c r="AK51" s="382"/>
      <c r="AL51" s="383"/>
      <c r="AM51" s="384"/>
      <c r="AN51" s="384"/>
      <c r="AO51" s="397"/>
      <c r="AP51" s="397"/>
      <c r="AQ51" s="414"/>
      <c r="AR51" s="414"/>
      <c r="AS51" s="415"/>
      <c r="AT51" s="415"/>
      <c r="AU51" s="440"/>
      <c r="AV51" s="440"/>
      <c r="AW51" s="413"/>
      <c r="AX51" s="413"/>
      <c r="AY51" s="390"/>
      <c r="AZ51" s="391"/>
      <c r="BA51" s="355"/>
      <c r="BB51" s="375"/>
      <c r="BC51" s="375"/>
      <c r="BD51" s="86"/>
      <c r="BE51" s="86"/>
      <c r="BF51" s="392"/>
    </row>
    <row r="52" spans="1:58" ht="15.75" customHeight="1">
      <c r="A52" s="373"/>
      <c r="B52" s="452" t="s">
        <v>235</v>
      </c>
      <c r="C52" s="435"/>
      <c r="D52" s="453" t="s">
        <v>236</v>
      </c>
      <c r="E52" s="454">
        <v>1.68</v>
      </c>
      <c r="F52" s="205">
        <f>E52*0.25</f>
        <v>0.42</v>
      </c>
      <c r="G52" s="423">
        <f t="shared" si="19"/>
        <v>0.25</v>
      </c>
      <c r="H52" s="205">
        <f>E52*1.25</f>
        <v>2.1</v>
      </c>
      <c r="I52" s="455">
        <f t="shared" si="14"/>
        <v>2.52</v>
      </c>
      <c r="J52" s="456">
        <v>2.5</v>
      </c>
      <c r="K52" s="206">
        <v>0.2</v>
      </c>
      <c r="L52" s="457"/>
      <c r="M52" s="394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2"/>
      <c r="AJ52" s="382"/>
      <c r="AK52" s="382"/>
      <c r="AL52" s="383"/>
      <c r="AM52" s="384"/>
      <c r="AN52" s="384"/>
      <c r="AO52" s="397"/>
      <c r="AP52" s="397"/>
      <c r="AQ52" s="414"/>
      <c r="AR52" s="414"/>
      <c r="AS52" s="415"/>
      <c r="AT52" s="415"/>
      <c r="AU52" s="412"/>
      <c r="AV52" s="412"/>
      <c r="AW52" s="413"/>
      <c r="AX52" s="413"/>
      <c r="AY52" s="390"/>
      <c r="AZ52" s="391"/>
      <c r="BA52" s="355"/>
      <c r="BB52" s="451"/>
      <c r="BC52" s="451"/>
      <c r="BD52" s="86"/>
      <c r="BE52" s="86"/>
      <c r="BF52" s="392"/>
    </row>
    <row r="53" spans="1:59" ht="15.75" customHeight="1">
      <c r="A53" s="373"/>
      <c r="B53" s="435" t="s">
        <v>237</v>
      </c>
      <c r="C53" s="435"/>
      <c r="D53" s="441" t="s">
        <v>238</v>
      </c>
      <c r="E53" s="442">
        <v>0.96</v>
      </c>
      <c r="F53" s="442">
        <f aca="true" t="shared" si="32" ref="F53:F54">E53*1.2</f>
        <v>1.152</v>
      </c>
      <c r="G53" s="443">
        <f t="shared" si="19"/>
        <v>1.2</v>
      </c>
      <c r="H53" s="442">
        <f>E53*2.2</f>
        <v>2.112</v>
      </c>
      <c r="I53" s="444">
        <f t="shared" si="14"/>
        <v>2.5344</v>
      </c>
      <c r="J53" s="442">
        <v>2.5</v>
      </c>
      <c r="K53" s="423">
        <v>0.2</v>
      </c>
      <c r="L53" s="380"/>
      <c r="M53" s="394"/>
      <c r="N53" s="382"/>
      <c r="O53" s="382"/>
      <c r="P53" s="382"/>
      <c r="Q53" s="382"/>
      <c r="R53" s="382"/>
      <c r="S53" s="382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382"/>
      <c r="AJ53" s="382"/>
      <c r="AK53" s="382"/>
      <c r="AL53" s="383"/>
      <c r="AM53" s="384"/>
      <c r="AN53" s="384"/>
      <c r="AO53" s="397"/>
      <c r="AP53" s="397"/>
      <c r="AQ53" s="414"/>
      <c r="AR53" s="414"/>
      <c r="AS53" s="415"/>
      <c r="AT53" s="415"/>
      <c r="AU53" s="412"/>
      <c r="AV53" s="412"/>
      <c r="AW53" s="413"/>
      <c r="AX53" s="413"/>
      <c r="AY53" s="390"/>
      <c r="AZ53" s="391"/>
      <c r="BA53" s="355"/>
      <c r="BB53" s="375" t="s">
        <v>238</v>
      </c>
      <c r="BC53" s="375"/>
      <c r="BD53" s="86">
        <f aca="true" t="shared" si="33" ref="BD53:BD60">M53+O53+Q53+S53+U53+W53+Y53+AA53+AC53+AE53+AG53+AI53+AK53</f>
        <v>0</v>
      </c>
      <c r="BE53" s="86">
        <f aca="true" t="shared" si="34" ref="BE53:BE60">AY53</f>
        <v>0</v>
      </c>
      <c r="BF53" s="392">
        <f aca="true" t="shared" si="35" ref="BF53:BF60">(BC53+BD53)-AY53</f>
        <v>0</v>
      </c>
      <c r="BG53">
        <f aca="true" t="shared" si="36" ref="BG53:BG60">IF(BF53&gt;=6,"Ok","Commande")</f>
        <v>0</v>
      </c>
    </row>
    <row r="54" spans="1:59" ht="15.75" customHeight="1">
      <c r="A54" s="373"/>
      <c r="B54" s="435"/>
      <c r="C54" s="435"/>
      <c r="D54" s="441" t="s">
        <v>239</v>
      </c>
      <c r="E54" s="442">
        <v>0.96</v>
      </c>
      <c r="F54" s="442">
        <f t="shared" si="32"/>
        <v>1.152</v>
      </c>
      <c r="G54" s="443">
        <f t="shared" si="19"/>
        <v>1.2</v>
      </c>
      <c r="H54" s="442">
        <f aca="true" t="shared" si="37" ref="H54:H56">E54*1.25</f>
        <v>1.2</v>
      </c>
      <c r="I54" s="444">
        <f t="shared" si="14"/>
        <v>1.44</v>
      </c>
      <c r="J54" s="442">
        <v>2.5</v>
      </c>
      <c r="K54" s="423"/>
      <c r="L54" s="380"/>
      <c r="M54" s="394"/>
      <c r="N54" s="382"/>
      <c r="O54" s="382"/>
      <c r="P54" s="382"/>
      <c r="Q54" s="382"/>
      <c r="R54" s="382"/>
      <c r="S54" s="382"/>
      <c r="T54" s="382"/>
      <c r="U54" s="382"/>
      <c r="V54" s="382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82"/>
      <c r="AH54" s="382"/>
      <c r="AI54" s="382"/>
      <c r="AJ54" s="382"/>
      <c r="AK54" s="382"/>
      <c r="AL54" s="383"/>
      <c r="AM54" s="384"/>
      <c r="AN54" s="384"/>
      <c r="AO54" s="397"/>
      <c r="AP54" s="397"/>
      <c r="AQ54" s="414"/>
      <c r="AR54" s="414"/>
      <c r="AS54" s="415"/>
      <c r="AT54" s="415"/>
      <c r="AU54" s="412"/>
      <c r="AV54" s="412"/>
      <c r="AW54" s="413"/>
      <c r="AX54" s="413"/>
      <c r="AY54" s="390"/>
      <c r="AZ54" s="391"/>
      <c r="BA54" s="355"/>
      <c r="BB54" s="375" t="s">
        <v>239</v>
      </c>
      <c r="BC54" s="375"/>
      <c r="BD54" s="86">
        <f t="shared" si="33"/>
        <v>0</v>
      </c>
      <c r="BE54" s="86">
        <f t="shared" si="34"/>
        <v>0</v>
      </c>
      <c r="BF54" s="392">
        <f t="shared" si="35"/>
        <v>0</v>
      </c>
      <c r="BG54">
        <f t="shared" si="36"/>
        <v>0</v>
      </c>
    </row>
    <row r="55" spans="1:59" ht="15.75" customHeight="1">
      <c r="A55" s="373"/>
      <c r="B55" s="452" t="s">
        <v>240</v>
      </c>
      <c r="C55" s="435"/>
      <c r="D55" s="458" t="s">
        <v>241</v>
      </c>
      <c r="E55" s="205">
        <v>0</v>
      </c>
      <c r="F55" s="205">
        <f aca="true" t="shared" si="38" ref="F55:F56">E55*0.25</f>
        <v>0</v>
      </c>
      <c r="G55" s="206"/>
      <c r="H55" s="205">
        <f t="shared" si="37"/>
        <v>0</v>
      </c>
      <c r="I55" s="205">
        <f t="shared" si="14"/>
        <v>0</v>
      </c>
      <c r="J55" s="456">
        <v>2</v>
      </c>
      <c r="K55" s="423"/>
      <c r="L55" s="380"/>
      <c r="M55" s="394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382"/>
      <c r="AJ55" s="382"/>
      <c r="AK55" s="382"/>
      <c r="AL55" s="383"/>
      <c r="AM55" s="404"/>
      <c r="AN55" s="404"/>
      <c r="AO55" s="405"/>
      <c r="AP55" s="405"/>
      <c r="AQ55" s="414"/>
      <c r="AR55" s="414"/>
      <c r="AS55" s="415"/>
      <c r="AT55" s="415"/>
      <c r="AU55" s="412"/>
      <c r="AV55" s="412"/>
      <c r="AW55" s="413"/>
      <c r="AX55" s="413"/>
      <c r="AY55" s="390"/>
      <c r="AZ55" s="391"/>
      <c r="BA55" s="355"/>
      <c r="BB55" s="459" t="s">
        <v>241</v>
      </c>
      <c r="BC55" s="459"/>
      <c r="BD55" s="86">
        <f t="shared" si="33"/>
        <v>0</v>
      </c>
      <c r="BE55" s="86">
        <f t="shared" si="34"/>
        <v>0</v>
      </c>
      <c r="BF55" s="392">
        <f t="shared" si="35"/>
        <v>0</v>
      </c>
      <c r="BG55">
        <f t="shared" si="36"/>
        <v>0</v>
      </c>
    </row>
    <row r="56" spans="1:59" ht="15.75" customHeight="1">
      <c r="A56" s="373"/>
      <c r="B56" s="452"/>
      <c r="C56" s="435"/>
      <c r="D56" s="460" t="s">
        <v>242</v>
      </c>
      <c r="E56" s="172">
        <v>3.33</v>
      </c>
      <c r="F56" s="172">
        <f t="shared" si="38"/>
        <v>0.8325</v>
      </c>
      <c r="G56" s="173">
        <f aca="true" t="shared" si="39" ref="G56:G60">F56/E56</f>
        <v>0.25</v>
      </c>
      <c r="H56" s="172">
        <f t="shared" si="37"/>
        <v>4.1625</v>
      </c>
      <c r="I56" s="172">
        <f t="shared" si="14"/>
        <v>4.994999999999999</v>
      </c>
      <c r="J56" s="461">
        <v>5</v>
      </c>
      <c r="K56" s="423"/>
      <c r="L56" s="380"/>
      <c r="M56" s="394"/>
      <c r="N56" s="382"/>
      <c r="O56" s="382"/>
      <c r="P56" s="382"/>
      <c r="Q56" s="382"/>
      <c r="R56" s="382"/>
      <c r="S56" s="382"/>
      <c r="T56" s="382"/>
      <c r="U56" s="382"/>
      <c r="V56" s="382"/>
      <c r="W56" s="382"/>
      <c r="X56" s="382"/>
      <c r="Y56" s="382"/>
      <c r="Z56" s="382"/>
      <c r="AA56" s="382"/>
      <c r="AB56" s="382"/>
      <c r="AC56" s="382"/>
      <c r="AD56" s="382"/>
      <c r="AE56" s="382"/>
      <c r="AF56" s="382"/>
      <c r="AG56" s="382"/>
      <c r="AH56" s="382"/>
      <c r="AI56" s="382"/>
      <c r="AJ56" s="382"/>
      <c r="AK56" s="382"/>
      <c r="AL56" s="383"/>
      <c r="AM56" s="404"/>
      <c r="AN56" s="404"/>
      <c r="AO56" s="405"/>
      <c r="AP56" s="405"/>
      <c r="AQ56" s="414"/>
      <c r="AR56" s="414"/>
      <c r="AS56" s="415"/>
      <c r="AT56" s="415"/>
      <c r="AU56" s="412"/>
      <c r="AV56" s="412"/>
      <c r="AW56" s="413"/>
      <c r="AX56" s="413"/>
      <c r="AY56" s="390"/>
      <c r="AZ56" s="391"/>
      <c r="BA56" s="355"/>
      <c r="BB56" s="459" t="s">
        <v>242</v>
      </c>
      <c r="BC56" s="459"/>
      <c r="BD56" s="86">
        <f t="shared" si="33"/>
        <v>0</v>
      </c>
      <c r="BE56" s="86">
        <f t="shared" si="34"/>
        <v>0</v>
      </c>
      <c r="BF56" s="392">
        <f t="shared" si="35"/>
        <v>0</v>
      </c>
      <c r="BG56">
        <f t="shared" si="36"/>
        <v>0</v>
      </c>
    </row>
    <row r="57" spans="1:59" ht="15.75" customHeight="1">
      <c r="A57" s="373"/>
      <c r="B57" s="452"/>
      <c r="C57" s="435"/>
      <c r="D57" s="460" t="s">
        <v>243</v>
      </c>
      <c r="E57" s="172">
        <v>0.58</v>
      </c>
      <c r="F57" s="172">
        <f>E57*0.43</f>
        <v>0.24939999999999998</v>
      </c>
      <c r="G57" s="173">
        <f t="shared" si="39"/>
        <v>0.43</v>
      </c>
      <c r="H57" s="172">
        <f>E57*1.43</f>
        <v>0.8293999999999999</v>
      </c>
      <c r="I57" s="172">
        <f t="shared" si="14"/>
        <v>0.9952799999999998</v>
      </c>
      <c r="J57" s="461">
        <v>1</v>
      </c>
      <c r="K57" s="423"/>
      <c r="L57" s="380"/>
      <c r="M57" s="394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382"/>
      <c r="AL57" s="383"/>
      <c r="AM57" s="404"/>
      <c r="AN57" s="404"/>
      <c r="AO57" s="405"/>
      <c r="AP57" s="405"/>
      <c r="AQ57" s="414"/>
      <c r="AR57" s="414"/>
      <c r="AS57" s="415"/>
      <c r="AT57" s="415"/>
      <c r="AU57" s="412"/>
      <c r="AV57" s="412"/>
      <c r="AW57" s="413"/>
      <c r="AX57" s="413"/>
      <c r="AY57" s="390"/>
      <c r="AZ57" s="391"/>
      <c r="BA57" s="355"/>
      <c r="BB57" s="459" t="s">
        <v>243</v>
      </c>
      <c r="BC57" s="459"/>
      <c r="BD57" s="86">
        <f t="shared" si="33"/>
        <v>0</v>
      </c>
      <c r="BE57" s="86">
        <f t="shared" si="34"/>
        <v>0</v>
      </c>
      <c r="BF57" s="392">
        <f t="shared" si="35"/>
        <v>0</v>
      </c>
      <c r="BG57">
        <f t="shared" si="36"/>
        <v>0</v>
      </c>
    </row>
    <row r="58" spans="1:59" ht="15.75" customHeight="1">
      <c r="A58" s="373"/>
      <c r="B58" s="452"/>
      <c r="C58" s="435"/>
      <c r="D58" s="460" t="s">
        <v>244</v>
      </c>
      <c r="E58" s="172">
        <v>0.89</v>
      </c>
      <c r="F58" s="172">
        <f>E58*0.88</f>
        <v>0.7832</v>
      </c>
      <c r="G58" s="173">
        <f t="shared" si="39"/>
        <v>0.88</v>
      </c>
      <c r="H58" s="172">
        <f>E58*1.88</f>
        <v>1.6732</v>
      </c>
      <c r="I58" s="172">
        <f t="shared" si="14"/>
        <v>2.00784</v>
      </c>
      <c r="J58" s="461">
        <v>2</v>
      </c>
      <c r="K58" s="423"/>
      <c r="L58" s="380"/>
      <c r="M58" s="394"/>
      <c r="N58" s="382"/>
      <c r="O58" s="382"/>
      <c r="P58" s="382"/>
      <c r="Q58" s="382"/>
      <c r="R58" s="382"/>
      <c r="S58" s="382"/>
      <c r="T58" s="382"/>
      <c r="U58" s="382"/>
      <c r="V58" s="382"/>
      <c r="W58" s="382"/>
      <c r="X58" s="382"/>
      <c r="Y58" s="382"/>
      <c r="Z58" s="382"/>
      <c r="AA58" s="382"/>
      <c r="AB58" s="382"/>
      <c r="AC58" s="382"/>
      <c r="AD58" s="382"/>
      <c r="AE58" s="382"/>
      <c r="AF58" s="382"/>
      <c r="AG58" s="382"/>
      <c r="AH58" s="382"/>
      <c r="AI58" s="382"/>
      <c r="AJ58" s="382"/>
      <c r="AK58" s="382"/>
      <c r="AL58" s="383"/>
      <c r="AM58" s="404"/>
      <c r="AN58" s="404"/>
      <c r="AO58" s="405"/>
      <c r="AP58" s="405"/>
      <c r="AQ58" s="414"/>
      <c r="AR58" s="414"/>
      <c r="AS58" s="415"/>
      <c r="AT58" s="415"/>
      <c r="AU58" s="412"/>
      <c r="AV58" s="412"/>
      <c r="AW58" s="413"/>
      <c r="AX58" s="413"/>
      <c r="AY58" s="390"/>
      <c r="AZ58" s="391"/>
      <c r="BA58" s="355"/>
      <c r="BB58" s="459" t="s">
        <v>244</v>
      </c>
      <c r="BC58" s="459"/>
      <c r="BD58" s="86">
        <f t="shared" si="33"/>
        <v>0</v>
      </c>
      <c r="BE58" s="86">
        <f t="shared" si="34"/>
        <v>0</v>
      </c>
      <c r="BF58" s="392">
        <f t="shared" si="35"/>
        <v>0</v>
      </c>
      <c r="BG58">
        <f t="shared" si="36"/>
        <v>0</v>
      </c>
    </row>
    <row r="59" spans="1:59" ht="15.75" customHeight="1">
      <c r="A59" s="373"/>
      <c r="B59" s="452"/>
      <c r="C59" s="435"/>
      <c r="D59" s="460" t="s">
        <v>245</v>
      </c>
      <c r="E59" s="172">
        <v>19</v>
      </c>
      <c r="F59" s="172">
        <f aca="true" t="shared" si="40" ref="F59:F60">E59*0.27</f>
        <v>5.130000000000001</v>
      </c>
      <c r="G59" s="173">
        <f t="shared" si="39"/>
        <v>0.27</v>
      </c>
      <c r="H59" s="172">
        <f aca="true" t="shared" si="41" ref="H59:H60">E59*1.27</f>
        <v>24.13</v>
      </c>
      <c r="I59" s="172">
        <f t="shared" si="14"/>
        <v>28.955999999999996</v>
      </c>
      <c r="J59" s="461">
        <v>29</v>
      </c>
      <c r="K59" s="423"/>
      <c r="L59" s="380"/>
      <c r="M59" s="394"/>
      <c r="N59" s="382"/>
      <c r="O59" s="382"/>
      <c r="P59" s="382"/>
      <c r="Q59" s="382"/>
      <c r="R59" s="382"/>
      <c r="S59" s="382"/>
      <c r="T59" s="382"/>
      <c r="U59" s="382"/>
      <c r="V59" s="382"/>
      <c r="W59" s="382"/>
      <c r="X59" s="382"/>
      <c r="Y59" s="382"/>
      <c r="Z59" s="382"/>
      <c r="AA59" s="382"/>
      <c r="AB59" s="382"/>
      <c r="AC59" s="382"/>
      <c r="AD59" s="382"/>
      <c r="AE59" s="382"/>
      <c r="AF59" s="382"/>
      <c r="AG59" s="382"/>
      <c r="AH59" s="382"/>
      <c r="AI59" s="382"/>
      <c r="AJ59" s="382"/>
      <c r="AK59" s="382"/>
      <c r="AL59" s="383"/>
      <c r="AM59" s="404"/>
      <c r="AN59" s="404"/>
      <c r="AO59" s="405"/>
      <c r="AP59" s="405"/>
      <c r="AQ59" s="414"/>
      <c r="AR59" s="414"/>
      <c r="AS59" s="415"/>
      <c r="AT59" s="415"/>
      <c r="AU59" s="412"/>
      <c r="AV59" s="412"/>
      <c r="AW59" s="413"/>
      <c r="AX59" s="413"/>
      <c r="AY59" s="390"/>
      <c r="AZ59" s="391"/>
      <c r="BA59" s="355"/>
      <c r="BB59" s="459" t="s">
        <v>245</v>
      </c>
      <c r="BC59" s="459"/>
      <c r="BD59" s="86">
        <f t="shared" si="33"/>
        <v>0</v>
      </c>
      <c r="BE59" s="86">
        <f t="shared" si="34"/>
        <v>0</v>
      </c>
      <c r="BF59" s="392">
        <f t="shared" si="35"/>
        <v>0</v>
      </c>
      <c r="BG59">
        <f t="shared" si="36"/>
        <v>0</v>
      </c>
    </row>
    <row r="60" spans="1:59" ht="15.75" customHeight="1">
      <c r="A60" s="373"/>
      <c r="B60" s="452"/>
      <c r="C60" s="452"/>
      <c r="D60" s="462" t="s">
        <v>246</v>
      </c>
      <c r="E60" s="205">
        <v>19</v>
      </c>
      <c r="F60" s="205">
        <f t="shared" si="40"/>
        <v>5.130000000000001</v>
      </c>
      <c r="G60" s="206">
        <f t="shared" si="39"/>
        <v>0.27</v>
      </c>
      <c r="H60" s="205">
        <f t="shared" si="41"/>
        <v>24.13</v>
      </c>
      <c r="I60" s="205">
        <f t="shared" si="14"/>
        <v>28.955999999999996</v>
      </c>
      <c r="J60" s="456">
        <v>29.5</v>
      </c>
      <c r="K60" s="423"/>
      <c r="L60" s="380"/>
      <c r="M60" s="394"/>
      <c r="N60" s="382"/>
      <c r="O60" s="382"/>
      <c r="P60" s="382"/>
      <c r="Q60" s="382"/>
      <c r="R60" s="382"/>
      <c r="S60" s="382"/>
      <c r="T60" s="382"/>
      <c r="U60" s="382"/>
      <c r="V60" s="382"/>
      <c r="W60" s="382"/>
      <c r="X60" s="382"/>
      <c r="Y60" s="382"/>
      <c r="Z60" s="382"/>
      <c r="AA60" s="382"/>
      <c r="AB60" s="382"/>
      <c r="AC60" s="382"/>
      <c r="AD60" s="382"/>
      <c r="AE60" s="382"/>
      <c r="AF60" s="382"/>
      <c r="AG60" s="382"/>
      <c r="AH60" s="382"/>
      <c r="AI60" s="382"/>
      <c r="AJ60" s="382"/>
      <c r="AK60" s="382"/>
      <c r="AL60" s="383"/>
      <c r="AM60" s="404"/>
      <c r="AN60" s="404"/>
      <c r="AO60" s="405"/>
      <c r="AP60" s="405"/>
      <c r="AQ60" s="414"/>
      <c r="AR60" s="414"/>
      <c r="AS60" s="415"/>
      <c r="AT60" s="415"/>
      <c r="AU60" s="412"/>
      <c r="AV60" s="412"/>
      <c r="AW60" s="413"/>
      <c r="AX60" s="413"/>
      <c r="AY60" s="390"/>
      <c r="AZ60" s="391"/>
      <c r="BA60" s="355"/>
      <c r="BB60" s="459" t="s">
        <v>246</v>
      </c>
      <c r="BC60" s="459"/>
      <c r="BD60" s="86">
        <f t="shared" si="33"/>
        <v>0</v>
      </c>
      <c r="BE60" s="86">
        <f t="shared" si="34"/>
        <v>0</v>
      </c>
      <c r="BF60" s="392">
        <f t="shared" si="35"/>
        <v>0</v>
      </c>
      <c r="BG60">
        <f t="shared" si="36"/>
        <v>0</v>
      </c>
    </row>
    <row r="61" spans="1:58" ht="15.75" customHeight="1">
      <c r="A61" s="373"/>
      <c r="B61" s="452" t="s">
        <v>247</v>
      </c>
      <c r="C61" s="463"/>
      <c r="D61" s="464" t="s">
        <v>248</v>
      </c>
      <c r="E61" s="465"/>
      <c r="F61" s="465"/>
      <c r="G61" s="466">
        <v>0.25</v>
      </c>
      <c r="H61" s="465">
        <v>5.2</v>
      </c>
      <c r="I61" s="172">
        <f aca="true" t="shared" si="42" ref="I61:I87">H61*25/100</f>
        <v>1.3</v>
      </c>
      <c r="J61" s="467">
        <v>6.5</v>
      </c>
      <c r="K61" s="468" t="s">
        <v>144</v>
      </c>
      <c r="L61" s="380"/>
      <c r="M61" s="394"/>
      <c r="N61" s="382"/>
      <c r="O61" s="382"/>
      <c r="P61" s="382"/>
      <c r="Q61" s="382"/>
      <c r="R61" s="382"/>
      <c r="S61" s="382"/>
      <c r="T61" s="382"/>
      <c r="U61" s="382"/>
      <c r="V61" s="382"/>
      <c r="W61" s="382"/>
      <c r="X61" s="382"/>
      <c r="Y61" s="382"/>
      <c r="Z61" s="382"/>
      <c r="AA61" s="382"/>
      <c r="AB61" s="382"/>
      <c r="AC61" s="382"/>
      <c r="AD61" s="382"/>
      <c r="AE61" s="382"/>
      <c r="AF61" s="382"/>
      <c r="AG61" s="382"/>
      <c r="AH61" s="382"/>
      <c r="AI61" s="382"/>
      <c r="AJ61" s="382"/>
      <c r="AK61" s="382"/>
      <c r="AL61" s="383"/>
      <c r="AM61" s="404"/>
      <c r="AN61" s="404"/>
      <c r="AO61" s="405"/>
      <c r="AP61" s="405"/>
      <c r="AQ61" s="414"/>
      <c r="AR61" s="414"/>
      <c r="AS61" s="415"/>
      <c r="AT61" s="415"/>
      <c r="AU61" s="412"/>
      <c r="AV61" s="412"/>
      <c r="AW61" s="413"/>
      <c r="AX61" s="413"/>
      <c r="AY61" s="390"/>
      <c r="AZ61" s="391"/>
      <c r="BA61" s="355"/>
      <c r="BB61" s="459"/>
      <c r="BC61" s="459"/>
      <c r="BD61" s="86"/>
      <c r="BE61" s="86"/>
      <c r="BF61" s="392"/>
    </row>
    <row r="62" spans="1:58" ht="15.75" customHeight="1">
      <c r="A62" s="373"/>
      <c r="B62" s="452"/>
      <c r="C62" s="469"/>
      <c r="D62" s="470" t="s">
        <v>249</v>
      </c>
      <c r="E62" s="172"/>
      <c r="F62" s="172"/>
      <c r="G62" s="173">
        <v>0.25</v>
      </c>
      <c r="H62" s="172">
        <v>2</v>
      </c>
      <c r="I62" s="172">
        <f t="shared" si="42"/>
        <v>0.5</v>
      </c>
      <c r="J62" s="461">
        <v>2.5</v>
      </c>
      <c r="K62" s="468"/>
      <c r="L62" s="380"/>
      <c r="M62" s="394"/>
      <c r="N62" s="382"/>
      <c r="O62" s="382"/>
      <c r="P62" s="382"/>
      <c r="Q62" s="382"/>
      <c r="R62" s="382"/>
      <c r="S62" s="382"/>
      <c r="T62" s="382"/>
      <c r="U62" s="382"/>
      <c r="V62" s="382"/>
      <c r="W62" s="382"/>
      <c r="X62" s="382"/>
      <c r="Y62" s="382"/>
      <c r="Z62" s="382"/>
      <c r="AA62" s="382"/>
      <c r="AB62" s="382"/>
      <c r="AC62" s="382"/>
      <c r="AD62" s="382"/>
      <c r="AE62" s="382"/>
      <c r="AF62" s="382"/>
      <c r="AG62" s="382"/>
      <c r="AH62" s="382"/>
      <c r="AI62" s="382"/>
      <c r="AJ62" s="382"/>
      <c r="AK62" s="382"/>
      <c r="AL62" s="383"/>
      <c r="AM62" s="404"/>
      <c r="AN62" s="404"/>
      <c r="AO62" s="405"/>
      <c r="AP62" s="405"/>
      <c r="AQ62" s="414"/>
      <c r="AR62" s="414"/>
      <c r="AS62" s="415"/>
      <c r="AT62" s="415"/>
      <c r="AU62" s="412"/>
      <c r="AV62" s="412"/>
      <c r="AW62" s="413"/>
      <c r="AX62" s="413"/>
      <c r="AY62" s="390"/>
      <c r="AZ62" s="391"/>
      <c r="BA62" s="355"/>
      <c r="BB62" s="459"/>
      <c r="BC62" s="459"/>
      <c r="BD62" s="86"/>
      <c r="BE62" s="86"/>
      <c r="BF62" s="392"/>
    </row>
    <row r="63" spans="1:58" ht="15.75" customHeight="1">
      <c r="A63" s="373"/>
      <c r="B63" s="452"/>
      <c r="C63" s="469"/>
      <c r="D63" s="470" t="s">
        <v>250</v>
      </c>
      <c r="E63" s="172"/>
      <c r="F63" s="172"/>
      <c r="G63" s="173">
        <v>0.74</v>
      </c>
      <c r="H63" s="172">
        <v>5.75</v>
      </c>
      <c r="I63" s="172">
        <f t="shared" si="42"/>
        <v>1.4375</v>
      </c>
      <c r="J63" s="461">
        <v>10</v>
      </c>
      <c r="K63" s="468"/>
      <c r="L63" s="380"/>
      <c r="M63" s="394"/>
      <c r="N63" s="382"/>
      <c r="O63" s="382"/>
      <c r="P63" s="382"/>
      <c r="Q63" s="382"/>
      <c r="R63" s="382"/>
      <c r="S63" s="382"/>
      <c r="T63" s="382"/>
      <c r="U63" s="382"/>
      <c r="V63" s="382"/>
      <c r="W63" s="382"/>
      <c r="X63" s="382"/>
      <c r="Y63" s="382"/>
      <c r="Z63" s="382"/>
      <c r="AA63" s="382"/>
      <c r="AB63" s="382"/>
      <c r="AC63" s="382"/>
      <c r="AD63" s="382"/>
      <c r="AE63" s="382"/>
      <c r="AF63" s="382"/>
      <c r="AG63" s="382"/>
      <c r="AH63" s="382"/>
      <c r="AI63" s="382"/>
      <c r="AJ63" s="382"/>
      <c r="AK63" s="382"/>
      <c r="AL63" s="383"/>
      <c r="AM63" s="404"/>
      <c r="AN63" s="404"/>
      <c r="AO63" s="405"/>
      <c r="AP63" s="405"/>
      <c r="AQ63" s="414"/>
      <c r="AR63" s="414"/>
      <c r="AS63" s="415"/>
      <c r="AT63" s="415"/>
      <c r="AU63" s="412"/>
      <c r="AV63" s="412"/>
      <c r="AW63" s="413"/>
      <c r="AX63" s="413"/>
      <c r="AY63" s="390"/>
      <c r="AZ63" s="391"/>
      <c r="BA63" s="355"/>
      <c r="BB63" s="459"/>
      <c r="BC63" s="459"/>
      <c r="BD63" s="86"/>
      <c r="BE63" s="86"/>
      <c r="BF63" s="392"/>
    </row>
    <row r="64" spans="1:58" ht="15.75" customHeight="1">
      <c r="A64" s="373"/>
      <c r="B64" s="452"/>
      <c r="C64" s="469"/>
      <c r="D64" s="470" t="s">
        <v>251</v>
      </c>
      <c r="E64" s="172"/>
      <c r="F64" s="172"/>
      <c r="G64" s="173">
        <v>0.74</v>
      </c>
      <c r="H64" s="172">
        <v>5.75</v>
      </c>
      <c r="I64" s="172">
        <f t="shared" si="42"/>
        <v>1.4375</v>
      </c>
      <c r="J64" s="461">
        <v>10</v>
      </c>
      <c r="K64" s="468"/>
      <c r="L64" s="380"/>
      <c r="M64" s="394"/>
      <c r="N64" s="382"/>
      <c r="O64" s="382"/>
      <c r="P64" s="382"/>
      <c r="Q64" s="382"/>
      <c r="R64" s="382"/>
      <c r="S64" s="382"/>
      <c r="T64" s="382"/>
      <c r="U64" s="382"/>
      <c r="V64" s="382"/>
      <c r="W64" s="382"/>
      <c r="X64" s="382"/>
      <c r="Y64" s="382"/>
      <c r="Z64" s="382"/>
      <c r="AA64" s="382"/>
      <c r="AB64" s="382"/>
      <c r="AC64" s="382"/>
      <c r="AD64" s="382"/>
      <c r="AE64" s="382"/>
      <c r="AF64" s="382"/>
      <c r="AG64" s="382"/>
      <c r="AH64" s="382"/>
      <c r="AI64" s="382"/>
      <c r="AJ64" s="382"/>
      <c r="AK64" s="382"/>
      <c r="AL64" s="383"/>
      <c r="AM64" s="404"/>
      <c r="AN64" s="404"/>
      <c r="AO64" s="405"/>
      <c r="AP64" s="405"/>
      <c r="AQ64" s="414"/>
      <c r="AR64" s="414"/>
      <c r="AS64" s="415"/>
      <c r="AT64" s="415"/>
      <c r="AU64" s="412"/>
      <c r="AV64" s="412"/>
      <c r="AW64" s="413"/>
      <c r="AX64" s="413"/>
      <c r="AY64" s="390"/>
      <c r="AZ64" s="391"/>
      <c r="BA64" s="355"/>
      <c r="BB64" s="459"/>
      <c r="BC64" s="459"/>
      <c r="BD64" s="86"/>
      <c r="BE64" s="86"/>
      <c r="BF64" s="392"/>
    </row>
    <row r="65" spans="1:58" ht="15.75" customHeight="1">
      <c r="A65" s="373"/>
      <c r="B65" s="452"/>
      <c r="C65" s="469"/>
      <c r="D65" s="470" t="s">
        <v>252</v>
      </c>
      <c r="E65" s="172"/>
      <c r="F65" s="172"/>
      <c r="G65" s="173">
        <v>1.24</v>
      </c>
      <c r="H65" s="172">
        <v>4.5</v>
      </c>
      <c r="I65" s="172">
        <f t="shared" si="42"/>
        <v>1.125</v>
      </c>
      <c r="J65" s="461">
        <v>10</v>
      </c>
      <c r="K65" s="468"/>
      <c r="L65" s="380"/>
      <c r="M65" s="394"/>
      <c r="N65" s="382"/>
      <c r="O65" s="382"/>
      <c r="P65" s="382"/>
      <c r="Q65" s="382"/>
      <c r="R65" s="382"/>
      <c r="S65" s="382"/>
      <c r="T65" s="382"/>
      <c r="U65" s="382"/>
      <c r="V65" s="382"/>
      <c r="W65" s="382"/>
      <c r="X65" s="382"/>
      <c r="Y65" s="382"/>
      <c r="Z65" s="382"/>
      <c r="AA65" s="382"/>
      <c r="AB65" s="382"/>
      <c r="AC65" s="382"/>
      <c r="AD65" s="382"/>
      <c r="AE65" s="382"/>
      <c r="AF65" s="382"/>
      <c r="AG65" s="382"/>
      <c r="AH65" s="382"/>
      <c r="AI65" s="382"/>
      <c r="AJ65" s="382"/>
      <c r="AK65" s="382"/>
      <c r="AL65" s="383"/>
      <c r="AM65" s="404"/>
      <c r="AN65" s="404"/>
      <c r="AO65" s="405"/>
      <c r="AP65" s="405"/>
      <c r="AQ65" s="414"/>
      <c r="AR65" s="414"/>
      <c r="AS65" s="415"/>
      <c r="AT65" s="415"/>
      <c r="AU65" s="412"/>
      <c r="AV65" s="412"/>
      <c r="AW65" s="413"/>
      <c r="AX65" s="413"/>
      <c r="AY65" s="390"/>
      <c r="AZ65" s="391"/>
      <c r="BA65" s="355"/>
      <c r="BB65" s="459"/>
      <c r="BC65" s="459"/>
      <c r="BD65" s="86"/>
      <c r="BE65" s="86"/>
      <c r="BF65" s="392"/>
    </row>
    <row r="66" spans="1:58" ht="15.75" customHeight="1">
      <c r="A66" s="373"/>
      <c r="B66" s="452"/>
      <c r="C66" s="469"/>
      <c r="D66" s="470" t="s">
        <v>253</v>
      </c>
      <c r="E66" s="172"/>
      <c r="F66" s="172"/>
      <c r="G66" s="173">
        <v>0.25</v>
      </c>
      <c r="H66" s="172">
        <v>8</v>
      </c>
      <c r="I66" s="172">
        <f t="shared" si="42"/>
        <v>2</v>
      </c>
      <c r="J66" s="461">
        <v>10</v>
      </c>
      <c r="K66" s="468"/>
      <c r="L66" s="380"/>
      <c r="M66" s="394"/>
      <c r="N66" s="382"/>
      <c r="O66" s="382"/>
      <c r="P66" s="382"/>
      <c r="Q66" s="382"/>
      <c r="R66" s="382"/>
      <c r="S66" s="382"/>
      <c r="T66" s="382"/>
      <c r="U66" s="382"/>
      <c r="V66" s="382"/>
      <c r="W66" s="382"/>
      <c r="X66" s="382"/>
      <c r="Y66" s="382"/>
      <c r="Z66" s="382"/>
      <c r="AA66" s="382"/>
      <c r="AB66" s="382"/>
      <c r="AC66" s="382"/>
      <c r="AD66" s="382"/>
      <c r="AE66" s="382"/>
      <c r="AF66" s="382"/>
      <c r="AG66" s="382"/>
      <c r="AH66" s="382"/>
      <c r="AI66" s="382"/>
      <c r="AJ66" s="382"/>
      <c r="AK66" s="382"/>
      <c r="AL66" s="383"/>
      <c r="AM66" s="404"/>
      <c r="AN66" s="404"/>
      <c r="AO66" s="405"/>
      <c r="AP66" s="405"/>
      <c r="AQ66" s="414"/>
      <c r="AR66" s="414"/>
      <c r="AS66" s="415"/>
      <c r="AT66" s="415"/>
      <c r="AU66" s="412"/>
      <c r="AV66" s="412"/>
      <c r="AW66" s="413"/>
      <c r="AX66" s="413"/>
      <c r="AY66" s="390"/>
      <c r="AZ66" s="391"/>
      <c r="BA66" s="355"/>
      <c r="BB66" s="459"/>
      <c r="BC66" s="459"/>
      <c r="BD66" s="86"/>
      <c r="BE66" s="86"/>
      <c r="BF66" s="392"/>
    </row>
    <row r="67" spans="1:58" ht="15.75" customHeight="1">
      <c r="A67" s="373"/>
      <c r="B67" s="452"/>
      <c r="C67" s="469" t="s">
        <v>254</v>
      </c>
      <c r="D67" s="470" t="s">
        <v>255</v>
      </c>
      <c r="E67" s="172"/>
      <c r="F67" s="172"/>
      <c r="G67" s="173">
        <v>0.42</v>
      </c>
      <c r="H67" s="172">
        <v>3.5</v>
      </c>
      <c r="I67" s="172">
        <f t="shared" si="42"/>
        <v>0.875</v>
      </c>
      <c r="J67" s="461">
        <v>5</v>
      </c>
      <c r="K67" s="468"/>
      <c r="L67" s="380"/>
      <c r="M67" s="394"/>
      <c r="N67" s="382"/>
      <c r="O67" s="382"/>
      <c r="P67" s="382"/>
      <c r="Q67" s="382"/>
      <c r="R67" s="382"/>
      <c r="S67" s="382"/>
      <c r="T67" s="382"/>
      <c r="U67" s="382"/>
      <c r="V67" s="382"/>
      <c r="W67" s="382"/>
      <c r="X67" s="382"/>
      <c r="Y67" s="382"/>
      <c r="Z67" s="382"/>
      <c r="AA67" s="382"/>
      <c r="AB67" s="382"/>
      <c r="AC67" s="382"/>
      <c r="AD67" s="382"/>
      <c r="AE67" s="382"/>
      <c r="AF67" s="382"/>
      <c r="AG67" s="382"/>
      <c r="AH67" s="382"/>
      <c r="AI67" s="382"/>
      <c r="AJ67" s="382"/>
      <c r="AK67" s="382"/>
      <c r="AL67" s="383"/>
      <c r="AM67" s="404"/>
      <c r="AN67" s="404"/>
      <c r="AO67" s="405"/>
      <c r="AP67" s="405"/>
      <c r="AQ67" s="414"/>
      <c r="AR67" s="414"/>
      <c r="AS67" s="415"/>
      <c r="AT67" s="415"/>
      <c r="AU67" s="412"/>
      <c r="AV67" s="412"/>
      <c r="AW67" s="413"/>
      <c r="AX67" s="413"/>
      <c r="AY67" s="390"/>
      <c r="AZ67" s="391"/>
      <c r="BA67" s="355"/>
      <c r="BB67" s="459"/>
      <c r="BC67" s="459"/>
      <c r="BD67" s="86"/>
      <c r="BE67" s="86"/>
      <c r="BF67" s="392"/>
    </row>
    <row r="68" spans="1:58" ht="15.75" customHeight="1">
      <c r="A68" s="373"/>
      <c r="B68" s="452"/>
      <c r="C68" s="469" t="s">
        <v>256</v>
      </c>
      <c r="D68" s="470" t="s">
        <v>256</v>
      </c>
      <c r="E68" s="172"/>
      <c r="F68" s="172"/>
      <c r="G68" s="173">
        <v>0.25</v>
      </c>
      <c r="H68" s="172">
        <v>3.1</v>
      </c>
      <c r="I68" s="172">
        <f t="shared" si="42"/>
        <v>0.775</v>
      </c>
      <c r="J68" s="461">
        <v>3.9</v>
      </c>
      <c r="K68" s="468"/>
      <c r="L68" s="380"/>
      <c r="M68" s="394"/>
      <c r="N68" s="382"/>
      <c r="O68" s="382"/>
      <c r="P68" s="382"/>
      <c r="Q68" s="382"/>
      <c r="R68" s="382"/>
      <c r="S68" s="382"/>
      <c r="T68" s="382"/>
      <c r="U68" s="382"/>
      <c r="V68" s="382"/>
      <c r="W68" s="382"/>
      <c r="X68" s="382"/>
      <c r="Y68" s="382"/>
      <c r="Z68" s="382"/>
      <c r="AA68" s="382"/>
      <c r="AB68" s="382"/>
      <c r="AC68" s="382"/>
      <c r="AD68" s="382"/>
      <c r="AE68" s="382"/>
      <c r="AF68" s="382"/>
      <c r="AG68" s="382"/>
      <c r="AH68" s="382"/>
      <c r="AI68" s="382"/>
      <c r="AJ68" s="382"/>
      <c r="AK68" s="382"/>
      <c r="AL68" s="383"/>
      <c r="AM68" s="404"/>
      <c r="AN68" s="404"/>
      <c r="AO68" s="405"/>
      <c r="AP68" s="405"/>
      <c r="AQ68" s="414"/>
      <c r="AR68" s="414"/>
      <c r="AS68" s="415"/>
      <c r="AT68" s="415"/>
      <c r="AU68" s="412"/>
      <c r="AV68" s="412"/>
      <c r="AW68" s="413"/>
      <c r="AX68" s="413"/>
      <c r="AY68" s="390"/>
      <c r="AZ68" s="391"/>
      <c r="BA68" s="355"/>
      <c r="BB68" s="459"/>
      <c r="BC68" s="459"/>
      <c r="BD68" s="86"/>
      <c r="BE68" s="86"/>
      <c r="BF68" s="392"/>
    </row>
    <row r="69" spans="1:58" ht="15.75" customHeight="1">
      <c r="A69" s="373"/>
      <c r="B69" s="452"/>
      <c r="C69" s="469"/>
      <c r="D69" s="470" t="s">
        <v>257</v>
      </c>
      <c r="E69" s="172"/>
      <c r="F69" s="172"/>
      <c r="G69" s="173">
        <v>0.25</v>
      </c>
      <c r="H69" s="172">
        <v>9.2</v>
      </c>
      <c r="I69" s="172">
        <f t="shared" si="42"/>
        <v>2.3</v>
      </c>
      <c r="J69" s="461">
        <v>11.5</v>
      </c>
      <c r="K69" s="468"/>
      <c r="L69" s="380"/>
      <c r="M69" s="394"/>
      <c r="N69" s="382"/>
      <c r="O69" s="382"/>
      <c r="P69" s="382"/>
      <c r="Q69" s="382"/>
      <c r="R69" s="382"/>
      <c r="S69" s="382"/>
      <c r="T69" s="382"/>
      <c r="U69" s="382"/>
      <c r="V69" s="382"/>
      <c r="W69" s="382"/>
      <c r="X69" s="382"/>
      <c r="Y69" s="382"/>
      <c r="Z69" s="382"/>
      <c r="AA69" s="382"/>
      <c r="AB69" s="382"/>
      <c r="AC69" s="382"/>
      <c r="AD69" s="382"/>
      <c r="AE69" s="382"/>
      <c r="AF69" s="382"/>
      <c r="AG69" s="382"/>
      <c r="AH69" s="382"/>
      <c r="AI69" s="382"/>
      <c r="AJ69" s="382"/>
      <c r="AK69" s="382"/>
      <c r="AL69" s="383"/>
      <c r="AM69" s="404"/>
      <c r="AN69" s="404"/>
      <c r="AO69" s="405"/>
      <c r="AP69" s="405"/>
      <c r="AQ69" s="414"/>
      <c r="AR69" s="414"/>
      <c r="AS69" s="415"/>
      <c r="AT69" s="415"/>
      <c r="AU69" s="412"/>
      <c r="AV69" s="412"/>
      <c r="AW69" s="413"/>
      <c r="AX69" s="413"/>
      <c r="AY69" s="390"/>
      <c r="AZ69" s="391"/>
      <c r="BA69" s="355"/>
      <c r="BB69" s="459"/>
      <c r="BC69" s="459"/>
      <c r="BD69" s="86"/>
      <c r="BE69" s="86"/>
      <c r="BF69" s="392"/>
    </row>
    <row r="70" spans="1:58" ht="15.75" customHeight="1">
      <c r="A70" s="373"/>
      <c r="B70" s="452"/>
      <c r="C70" s="469" t="s">
        <v>258</v>
      </c>
      <c r="D70" s="470" t="s">
        <v>258</v>
      </c>
      <c r="E70" s="172"/>
      <c r="F70" s="172"/>
      <c r="G70" s="173">
        <v>0.25</v>
      </c>
      <c r="H70" s="172">
        <v>11</v>
      </c>
      <c r="I70" s="172">
        <f t="shared" si="42"/>
        <v>2.75</v>
      </c>
      <c r="J70" s="461">
        <v>13.75</v>
      </c>
      <c r="K70" s="468"/>
      <c r="L70" s="380"/>
      <c r="M70" s="394"/>
      <c r="N70" s="382"/>
      <c r="O70" s="382"/>
      <c r="P70" s="382"/>
      <c r="Q70" s="382"/>
      <c r="R70" s="382"/>
      <c r="S70" s="382"/>
      <c r="T70" s="382"/>
      <c r="U70" s="382"/>
      <c r="V70" s="382"/>
      <c r="W70" s="382"/>
      <c r="X70" s="382"/>
      <c r="Y70" s="382"/>
      <c r="Z70" s="382"/>
      <c r="AA70" s="382"/>
      <c r="AB70" s="382"/>
      <c r="AC70" s="382"/>
      <c r="AD70" s="382"/>
      <c r="AE70" s="382"/>
      <c r="AF70" s="382"/>
      <c r="AG70" s="382"/>
      <c r="AH70" s="382"/>
      <c r="AI70" s="382"/>
      <c r="AJ70" s="382"/>
      <c r="AK70" s="382"/>
      <c r="AL70" s="383"/>
      <c r="AM70" s="404"/>
      <c r="AN70" s="404"/>
      <c r="AO70" s="405"/>
      <c r="AP70" s="405"/>
      <c r="AQ70" s="414"/>
      <c r="AR70" s="414"/>
      <c r="AS70" s="415"/>
      <c r="AT70" s="415"/>
      <c r="AU70" s="412"/>
      <c r="AV70" s="412"/>
      <c r="AW70" s="413"/>
      <c r="AX70" s="413"/>
      <c r="AY70" s="390"/>
      <c r="AZ70" s="391"/>
      <c r="BA70" s="355"/>
      <c r="BB70" s="459"/>
      <c r="BC70" s="459"/>
      <c r="BD70" s="86"/>
      <c r="BE70" s="86"/>
      <c r="BF70" s="392"/>
    </row>
    <row r="71" spans="1:58" ht="15.75" customHeight="1">
      <c r="A71" s="373"/>
      <c r="B71" s="452"/>
      <c r="C71" s="469"/>
      <c r="D71" s="470" t="s">
        <v>259</v>
      </c>
      <c r="E71" s="172"/>
      <c r="F71" s="172"/>
      <c r="G71" s="173">
        <v>0.2</v>
      </c>
      <c r="H71" s="172">
        <v>9</v>
      </c>
      <c r="I71" s="172">
        <f t="shared" si="42"/>
        <v>2.25</v>
      </c>
      <c r="J71" s="461">
        <v>11</v>
      </c>
      <c r="K71" s="468"/>
      <c r="L71" s="380"/>
      <c r="M71" s="394"/>
      <c r="N71" s="382"/>
      <c r="O71" s="382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382"/>
      <c r="AA71" s="382"/>
      <c r="AB71" s="382"/>
      <c r="AC71" s="382"/>
      <c r="AD71" s="382"/>
      <c r="AE71" s="382"/>
      <c r="AF71" s="382"/>
      <c r="AG71" s="382"/>
      <c r="AH71" s="382"/>
      <c r="AI71" s="382"/>
      <c r="AJ71" s="382"/>
      <c r="AK71" s="382"/>
      <c r="AL71" s="383"/>
      <c r="AM71" s="404"/>
      <c r="AN71" s="404"/>
      <c r="AO71" s="405"/>
      <c r="AP71" s="405"/>
      <c r="AQ71" s="414"/>
      <c r="AR71" s="414"/>
      <c r="AS71" s="415"/>
      <c r="AT71" s="415"/>
      <c r="AU71" s="412"/>
      <c r="AV71" s="412"/>
      <c r="AW71" s="413"/>
      <c r="AX71" s="413"/>
      <c r="AY71" s="390"/>
      <c r="AZ71" s="391"/>
      <c r="BA71" s="355"/>
      <c r="BB71" s="459"/>
      <c r="BC71" s="459"/>
      <c r="BD71" s="86"/>
      <c r="BE71" s="86"/>
      <c r="BF71" s="392"/>
    </row>
    <row r="72" spans="1:58" ht="15.75" customHeight="1">
      <c r="A72" s="373"/>
      <c r="B72" s="452"/>
      <c r="C72" s="469"/>
      <c r="D72" s="470" t="s">
        <v>260</v>
      </c>
      <c r="E72" s="172"/>
      <c r="F72" s="172"/>
      <c r="G72" s="173">
        <v>0.25</v>
      </c>
      <c r="H72" s="172">
        <v>0.9</v>
      </c>
      <c r="I72" s="172">
        <f t="shared" si="42"/>
        <v>0.225</v>
      </c>
      <c r="J72" s="461">
        <v>1.15</v>
      </c>
      <c r="K72" s="468"/>
      <c r="L72" s="380"/>
      <c r="M72" s="394"/>
      <c r="N72" s="382"/>
      <c r="O72" s="382"/>
      <c r="P72" s="382"/>
      <c r="Q72" s="382"/>
      <c r="R72" s="382"/>
      <c r="S72" s="382"/>
      <c r="T72" s="382"/>
      <c r="U72" s="382"/>
      <c r="V72" s="382"/>
      <c r="W72" s="382"/>
      <c r="X72" s="382"/>
      <c r="Y72" s="382"/>
      <c r="Z72" s="382"/>
      <c r="AA72" s="382"/>
      <c r="AB72" s="382"/>
      <c r="AC72" s="382"/>
      <c r="AD72" s="382"/>
      <c r="AE72" s="382"/>
      <c r="AF72" s="382"/>
      <c r="AG72" s="382"/>
      <c r="AH72" s="382"/>
      <c r="AI72" s="382"/>
      <c r="AJ72" s="382"/>
      <c r="AK72" s="382"/>
      <c r="AL72" s="383"/>
      <c r="AM72" s="404"/>
      <c r="AN72" s="404"/>
      <c r="AO72" s="405"/>
      <c r="AP72" s="405"/>
      <c r="AQ72" s="414"/>
      <c r="AR72" s="414"/>
      <c r="AS72" s="415"/>
      <c r="AT72" s="415"/>
      <c r="AU72" s="412"/>
      <c r="AV72" s="412"/>
      <c r="AW72" s="413"/>
      <c r="AX72" s="413"/>
      <c r="AY72" s="390"/>
      <c r="AZ72" s="391"/>
      <c r="BA72" s="355"/>
      <c r="BB72" s="459"/>
      <c r="BC72" s="459"/>
      <c r="BD72" s="86"/>
      <c r="BE72" s="86"/>
      <c r="BF72" s="392"/>
    </row>
    <row r="73" spans="1:58" ht="15.75" customHeight="1">
      <c r="A73" s="373"/>
      <c r="B73" s="452"/>
      <c r="C73" s="469"/>
      <c r="D73" s="471" t="s">
        <v>261</v>
      </c>
      <c r="E73" s="172"/>
      <c r="F73" s="172"/>
      <c r="G73" s="173">
        <v>0.25</v>
      </c>
      <c r="H73" s="172">
        <v>4</v>
      </c>
      <c r="I73" s="172">
        <f t="shared" si="42"/>
        <v>1</v>
      </c>
      <c r="J73" s="461">
        <v>5</v>
      </c>
      <c r="K73" s="468"/>
      <c r="L73" s="380"/>
      <c r="M73" s="394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2"/>
      <c r="AJ73" s="382"/>
      <c r="AK73" s="382"/>
      <c r="AL73" s="383"/>
      <c r="AM73" s="404"/>
      <c r="AN73" s="404"/>
      <c r="AO73" s="405"/>
      <c r="AP73" s="405"/>
      <c r="AQ73" s="414"/>
      <c r="AR73" s="414"/>
      <c r="AS73" s="415"/>
      <c r="AT73" s="415"/>
      <c r="AU73" s="412"/>
      <c r="AV73" s="412"/>
      <c r="AW73" s="413"/>
      <c r="AX73" s="413"/>
      <c r="AY73" s="390"/>
      <c r="AZ73" s="391"/>
      <c r="BA73" s="355"/>
      <c r="BB73" s="459"/>
      <c r="BC73" s="459"/>
      <c r="BD73" s="86"/>
      <c r="BE73" s="86"/>
      <c r="BF73" s="392"/>
    </row>
    <row r="74" spans="1:58" ht="15.75" customHeight="1">
      <c r="A74" s="373"/>
      <c r="B74" s="452"/>
      <c r="C74" s="469"/>
      <c r="D74" s="471" t="s">
        <v>262</v>
      </c>
      <c r="E74" s="172"/>
      <c r="F74" s="172"/>
      <c r="G74" s="173">
        <v>0.25</v>
      </c>
      <c r="H74" s="172">
        <v>4.8</v>
      </c>
      <c r="I74" s="172">
        <f t="shared" si="42"/>
        <v>1.2</v>
      </c>
      <c r="J74" s="461">
        <v>6</v>
      </c>
      <c r="K74" s="468"/>
      <c r="L74" s="380"/>
      <c r="M74" s="394"/>
      <c r="N74" s="382"/>
      <c r="O74" s="382"/>
      <c r="P74" s="382"/>
      <c r="Q74" s="382"/>
      <c r="R74" s="382"/>
      <c r="S74" s="382"/>
      <c r="T74" s="382"/>
      <c r="U74" s="382"/>
      <c r="V74" s="382"/>
      <c r="W74" s="382"/>
      <c r="X74" s="382"/>
      <c r="Y74" s="382"/>
      <c r="Z74" s="382"/>
      <c r="AA74" s="382"/>
      <c r="AB74" s="382"/>
      <c r="AC74" s="382"/>
      <c r="AD74" s="382"/>
      <c r="AE74" s="382"/>
      <c r="AF74" s="382"/>
      <c r="AG74" s="382"/>
      <c r="AH74" s="382"/>
      <c r="AI74" s="382"/>
      <c r="AJ74" s="382"/>
      <c r="AK74" s="382"/>
      <c r="AL74" s="383"/>
      <c r="AM74" s="404"/>
      <c r="AN74" s="404"/>
      <c r="AO74" s="405"/>
      <c r="AP74" s="405"/>
      <c r="AQ74" s="414"/>
      <c r="AR74" s="414"/>
      <c r="AS74" s="415"/>
      <c r="AT74" s="415"/>
      <c r="AU74" s="412"/>
      <c r="AV74" s="412"/>
      <c r="AW74" s="413"/>
      <c r="AX74" s="413"/>
      <c r="AY74" s="390"/>
      <c r="AZ74" s="391"/>
      <c r="BA74" s="355"/>
      <c r="BB74" s="459"/>
      <c r="BC74" s="459"/>
      <c r="BD74" s="86"/>
      <c r="BE74" s="86"/>
      <c r="BF74" s="392"/>
    </row>
    <row r="75" spans="1:58" ht="15.75" customHeight="1">
      <c r="A75" s="373"/>
      <c r="B75" s="452"/>
      <c r="C75" s="469"/>
      <c r="D75" s="472" t="s">
        <v>263</v>
      </c>
      <c r="E75" s="172"/>
      <c r="F75" s="172"/>
      <c r="G75" s="173">
        <v>0.25</v>
      </c>
      <c r="H75" s="172">
        <v>12</v>
      </c>
      <c r="I75" s="172">
        <f t="shared" si="42"/>
        <v>3</v>
      </c>
      <c r="J75" s="461">
        <v>15</v>
      </c>
      <c r="K75" s="468"/>
      <c r="L75" s="380"/>
      <c r="M75" s="394"/>
      <c r="N75" s="382"/>
      <c r="O75" s="382"/>
      <c r="P75" s="382"/>
      <c r="Q75" s="382"/>
      <c r="R75" s="382"/>
      <c r="S75" s="382"/>
      <c r="T75" s="382"/>
      <c r="U75" s="382"/>
      <c r="V75" s="382"/>
      <c r="W75" s="382"/>
      <c r="X75" s="382"/>
      <c r="Y75" s="382"/>
      <c r="Z75" s="382"/>
      <c r="AA75" s="382"/>
      <c r="AB75" s="382"/>
      <c r="AC75" s="382"/>
      <c r="AD75" s="382"/>
      <c r="AE75" s="382"/>
      <c r="AF75" s="382"/>
      <c r="AG75" s="382"/>
      <c r="AH75" s="382"/>
      <c r="AI75" s="382"/>
      <c r="AJ75" s="382"/>
      <c r="AK75" s="382"/>
      <c r="AL75" s="383"/>
      <c r="AM75" s="404"/>
      <c r="AN75" s="404"/>
      <c r="AO75" s="405"/>
      <c r="AP75" s="405"/>
      <c r="AQ75" s="414"/>
      <c r="AR75" s="414"/>
      <c r="AS75" s="415"/>
      <c r="AT75" s="415"/>
      <c r="AU75" s="412"/>
      <c r="AV75" s="412"/>
      <c r="AW75" s="413"/>
      <c r="AX75" s="413"/>
      <c r="AY75" s="390"/>
      <c r="AZ75" s="391"/>
      <c r="BA75" s="355"/>
      <c r="BB75" s="459"/>
      <c r="BC75" s="459"/>
      <c r="BD75" s="86"/>
      <c r="BE75" s="86"/>
      <c r="BF75" s="392"/>
    </row>
    <row r="76" spans="1:58" ht="15.75" customHeight="1">
      <c r="A76" s="373"/>
      <c r="B76" s="452"/>
      <c r="C76" s="469"/>
      <c r="D76" s="473" t="s">
        <v>264</v>
      </c>
      <c r="E76" s="172"/>
      <c r="F76" s="172"/>
      <c r="G76" s="173">
        <v>0.25</v>
      </c>
      <c r="H76" s="172">
        <v>5.6</v>
      </c>
      <c r="I76" s="172">
        <f t="shared" si="42"/>
        <v>1.4</v>
      </c>
      <c r="J76" s="461">
        <v>7</v>
      </c>
      <c r="K76" s="468"/>
      <c r="L76" s="380"/>
      <c r="M76" s="394"/>
      <c r="N76" s="382"/>
      <c r="O76" s="382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382"/>
      <c r="AA76" s="382"/>
      <c r="AB76" s="382"/>
      <c r="AC76" s="382"/>
      <c r="AD76" s="382"/>
      <c r="AE76" s="382"/>
      <c r="AF76" s="382"/>
      <c r="AG76" s="382"/>
      <c r="AH76" s="382"/>
      <c r="AI76" s="382"/>
      <c r="AJ76" s="382"/>
      <c r="AK76" s="382"/>
      <c r="AL76" s="383"/>
      <c r="AM76" s="404"/>
      <c r="AN76" s="404"/>
      <c r="AO76" s="405"/>
      <c r="AP76" s="405"/>
      <c r="AQ76" s="414"/>
      <c r="AR76" s="414"/>
      <c r="AS76" s="415"/>
      <c r="AT76" s="415"/>
      <c r="AU76" s="412"/>
      <c r="AV76" s="412"/>
      <c r="AW76" s="413"/>
      <c r="AX76" s="413"/>
      <c r="AY76" s="390"/>
      <c r="AZ76" s="391"/>
      <c r="BA76" s="355"/>
      <c r="BB76" s="459"/>
      <c r="BC76" s="459"/>
      <c r="BD76" s="86"/>
      <c r="BE76" s="86"/>
      <c r="BF76" s="392"/>
    </row>
    <row r="77" spans="1:58" ht="15.75" customHeight="1">
      <c r="A77" s="373"/>
      <c r="B77" s="452"/>
      <c r="C77" s="469"/>
      <c r="D77" s="473" t="s">
        <v>265</v>
      </c>
      <c r="E77" s="172"/>
      <c r="F77" s="172"/>
      <c r="G77" s="173">
        <v>0.25</v>
      </c>
      <c r="H77" s="172">
        <v>12</v>
      </c>
      <c r="I77" s="172">
        <f t="shared" si="42"/>
        <v>3</v>
      </c>
      <c r="J77" s="461">
        <v>15</v>
      </c>
      <c r="K77" s="468"/>
      <c r="L77" s="380"/>
      <c r="M77" s="394"/>
      <c r="N77" s="382"/>
      <c r="O77" s="382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382"/>
      <c r="AA77" s="382"/>
      <c r="AB77" s="382"/>
      <c r="AC77" s="382"/>
      <c r="AD77" s="382"/>
      <c r="AE77" s="382"/>
      <c r="AF77" s="382"/>
      <c r="AG77" s="382"/>
      <c r="AH77" s="382"/>
      <c r="AI77" s="382"/>
      <c r="AJ77" s="382"/>
      <c r="AK77" s="382"/>
      <c r="AL77" s="383"/>
      <c r="AM77" s="404"/>
      <c r="AN77" s="404"/>
      <c r="AO77" s="405"/>
      <c r="AP77" s="405"/>
      <c r="AQ77" s="414"/>
      <c r="AR77" s="414"/>
      <c r="AS77" s="415"/>
      <c r="AT77" s="415"/>
      <c r="AU77" s="412"/>
      <c r="AV77" s="412"/>
      <c r="AW77" s="413"/>
      <c r="AX77" s="413"/>
      <c r="AY77" s="390"/>
      <c r="AZ77" s="391"/>
      <c r="BA77" s="355"/>
      <c r="BB77" s="459"/>
      <c r="BC77" s="459"/>
      <c r="BD77" s="86"/>
      <c r="BE77" s="86"/>
      <c r="BF77" s="392"/>
    </row>
    <row r="78" spans="1:58" ht="15.75" customHeight="1">
      <c r="A78" s="373"/>
      <c r="B78" s="452"/>
      <c r="C78" s="469"/>
      <c r="D78" s="473" t="s">
        <v>266</v>
      </c>
      <c r="E78" s="172"/>
      <c r="F78" s="172"/>
      <c r="G78" s="173">
        <v>0.25</v>
      </c>
      <c r="H78" s="172">
        <v>7.2</v>
      </c>
      <c r="I78" s="172">
        <f t="shared" si="42"/>
        <v>1.8</v>
      </c>
      <c r="J78" s="461">
        <v>9</v>
      </c>
      <c r="K78" s="468"/>
      <c r="L78" s="380"/>
      <c r="M78" s="394"/>
      <c r="N78" s="382"/>
      <c r="O78" s="382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382"/>
      <c r="AA78" s="382"/>
      <c r="AB78" s="382"/>
      <c r="AC78" s="382"/>
      <c r="AD78" s="382"/>
      <c r="AE78" s="382"/>
      <c r="AF78" s="382"/>
      <c r="AG78" s="382"/>
      <c r="AH78" s="382"/>
      <c r="AI78" s="382"/>
      <c r="AJ78" s="382"/>
      <c r="AK78" s="382"/>
      <c r="AL78" s="383"/>
      <c r="AM78" s="404"/>
      <c r="AN78" s="404"/>
      <c r="AO78" s="405"/>
      <c r="AP78" s="405"/>
      <c r="AQ78" s="414"/>
      <c r="AR78" s="414"/>
      <c r="AS78" s="415"/>
      <c r="AT78" s="415"/>
      <c r="AU78" s="412"/>
      <c r="AV78" s="412"/>
      <c r="AW78" s="413"/>
      <c r="AX78" s="413"/>
      <c r="AY78" s="390"/>
      <c r="AZ78" s="391"/>
      <c r="BA78" s="355"/>
      <c r="BB78" s="459"/>
      <c r="BC78" s="459"/>
      <c r="BD78" s="86"/>
      <c r="BE78" s="86"/>
      <c r="BF78" s="392"/>
    </row>
    <row r="79" spans="1:58" ht="15.75" customHeight="1">
      <c r="A79" s="373"/>
      <c r="B79" s="452"/>
      <c r="C79" s="469"/>
      <c r="D79" s="472" t="s">
        <v>267</v>
      </c>
      <c r="E79" s="172"/>
      <c r="F79" s="172"/>
      <c r="G79" s="173">
        <v>0.25</v>
      </c>
      <c r="H79" s="172">
        <v>9.6</v>
      </c>
      <c r="I79" s="172">
        <f t="shared" si="42"/>
        <v>2.4</v>
      </c>
      <c r="J79" s="461">
        <v>12</v>
      </c>
      <c r="K79" s="468"/>
      <c r="L79" s="380"/>
      <c r="M79" s="394"/>
      <c r="N79" s="382"/>
      <c r="O79" s="382"/>
      <c r="P79" s="382"/>
      <c r="Q79" s="382"/>
      <c r="R79" s="382"/>
      <c r="S79" s="382"/>
      <c r="T79" s="382"/>
      <c r="U79" s="382"/>
      <c r="V79" s="382"/>
      <c r="W79" s="382"/>
      <c r="X79" s="382"/>
      <c r="Y79" s="382"/>
      <c r="Z79" s="382"/>
      <c r="AA79" s="382"/>
      <c r="AB79" s="382"/>
      <c r="AC79" s="382"/>
      <c r="AD79" s="382"/>
      <c r="AE79" s="382"/>
      <c r="AF79" s="382"/>
      <c r="AG79" s="382"/>
      <c r="AH79" s="382"/>
      <c r="AI79" s="382"/>
      <c r="AJ79" s="382"/>
      <c r="AK79" s="382"/>
      <c r="AL79" s="383"/>
      <c r="AM79" s="404"/>
      <c r="AN79" s="404"/>
      <c r="AO79" s="405"/>
      <c r="AP79" s="405"/>
      <c r="AQ79" s="414"/>
      <c r="AR79" s="414"/>
      <c r="AS79" s="415"/>
      <c r="AT79" s="415"/>
      <c r="AU79" s="412"/>
      <c r="AV79" s="412"/>
      <c r="AW79" s="413"/>
      <c r="AX79" s="413"/>
      <c r="AY79" s="390"/>
      <c r="AZ79" s="391"/>
      <c r="BA79" s="355"/>
      <c r="BB79" s="459"/>
      <c r="BC79" s="459"/>
      <c r="BD79" s="86"/>
      <c r="BE79" s="86"/>
      <c r="BF79" s="392"/>
    </row>
    <row r="80" spans="1:58" ht="15.75" customHeight="1">
      <c r="A80" s="373"/>
      <c r="B80" s="452"/>
      <c r="C80" s="469"/>
      <c r="D80" s="473" t="s">
        <v>268</v>
      </c>
      <c r="E80" s="172"/>
      <c r="F80" s="172"/>
      <c r="G80" s="173">
        <v>0.25</v>
      </c>
      <c r="H80" s="172">
        <v>6.4</v>
      </c>
      <c r="I80" s="172">
        <f t="shared" si="42"/>
        <v>1.6</v>
      </c>
      <c r="J80" s="461">
        <v>8</v>
      </c>
      <c r="K80" s="468"/>
      <c r="L80" s="380"/>
      <c r="M80" s="394"/>
      <c r="N80" s="382"/>
      <c r="O80" s="382"/>
      <c r="P80" s="382"/>
      <c r="Q80" s="382"/>
      <c r="R80" s="382"/>
      <c r="S80" s="382"/>
      <c r="T80" s="382"/>
      <c r="U80" s="382"/>
      <c r="V80" s="382"/>
      <c r="W80" s="382"/>
      <c r="X80" s="382"/>
      <c r="Y80" s="382"/>
      <c r="Z80" s="382"/>
      <c r="AA80" s="382"/>
      <c r="AB80" s="382"/>
      <c r="AC80" s="382"/>
      <c r="AD80" s="382"/>
      <c r="AE80" s="382"/>
      <c r="AF80" s="382"/>
      <c r="AG80" s="382"/>
      <c r="AH80" s="382"/>
      <c r="AI80" s="382"/>
      <c r="AJ80" s="382"/>
      <c r="AK80" s="382"/>
      <c r="AL80" s="383"/>
      <c r="AM80" s="404"/>
      <c r="AN80" s="404"/>
      <c r="AO80" s="405"/>
      <c r="AP80" s="405"/>
      <c r="AQ80" s="414"/>
      <c r="AR80" s="414"/>
      <c r="AS80" s="415"/>
      <c r="AT80" s="415"/>
      <c r="AU80" s="412"/>
      <c r="AV80" s="412"/>
      <c r="AW80" s="413"/>
      <c r="AX80" s="413"/>
      <c r="AY80" s="390"/>
      <c r="AZ80" s="391"/>
      <c r="BA80" s="355"/>
      <c r="BB80" s="459"/>
      <c r="BC80" s="459"/>
      <c r="BD80" s="86"/>
      <c r="BE80" s="86"/>
      <c r="BF80" s="392"/>
    </row>
    <row r="81" spans="1:58" ht="15.75" customHeight="1">
      <c r="A81" s="373"/>
      <c r="B81" s="452"/>
      <c r="C81" s="469" t="s">
        <v>269</v>
      </c>
      <c r="D81" s="473" t="s">
        <v>269</v>
      </c>
      <c r="E81" s="172"/>
      <c r="F81" s="172"/>
      <c r="G81" s="173">
        <v>0.25</v>
      </c>
      <c r="H81" s="172">
        <v>12.8</v>
      </c>
      <c r="I81" s="172">
        <f t="shared" si="42"/>
        <v>3.2</v>
      </c>
      <c r="J81" s="461">
        <v>16</v>
      </c>
      <c r="K81" s="468"/>
      <c r="L81" s="380"/>
      <c r="M81" s="394"/>
      <c r="N81" s="382"/>
      <c r="O81" s="382"/>
      <c r="P81" s="382"/>
      <c r="Q81" s="382"/>
      <c r="R81" s="382"/>
      <c r="S81" s="382"/>
      <c r="T81" s="382"/>
      <c r="U81" s="382"/>
      <c r="V81" s="382"/>
      <c r="W81" s="382"/>
      <c r="X81" s="382"/>
      <c r="Y81" s="382"/>
      <c r="Z81" s="382"/>
      <c r="AA81" s="382"/>
      <c r="AB81" s="382"/>
      <c r="AC81" s="382"/>
      <c r="AD81" s="382"/>
      <c r="AE81" s="382"/>
      <c r="AF81" s="382"/>
      <c r="AG81" s="382"/>
      <c r="AH81" s="382"/>
      <c r="AI81" s="382"/>
      <c r="AJ81" s="382"/>
      <c r="AK81" s="382"/>
      <c r="AL81" s="383"/>
      <c r="AM81" s="404"/>
      <c r="AN81" s="404"/>
      <c r="AO81" s="405"/>
      <c r="AP81" s="405"/>
      <c r="AQ81" s="414"/>
      <c r="AR81" s="414"/>
      <c r="AS81" s="415"/>
      <c r="AT81" s="415"/>
      <c r="AU81" s="412"/>
      <c r="AV81" s="412"/>
      <c r="AW81" s="413"/>
      <c r="AX81" s="413"/>
      <c r="AY81" s="390"/>
      <c r="AZ81" s="391"/>
      <c r="BA81" s="355"/>
      <c r="BB81" s="459"/>
      <c r="BC81" s="459"/>
      <c r="BD81" s="86"/>
      <c r="BE81" s="86"/>
      <c r="BF81" s="392"/>
    </row>
    <row r="82" spans="1:58" ht="15.75" customHeight="1">
      <c r="A82" s="373"/>
      <c r="B82" s="452"/>
      <c r="C82" s="469"/>
      <c r="D82" s="472" t="s">
        <v>270</v>
      </c>
      <c r="E82" s="172"/>
      <c r="F82" s="172"/>
      <c r="G82" s="173">
        <v>0.25</v>
      </c>
      <c r="H82" s="172">
        <v>0.8</v>
      </c>
      <c r="I82" s="172">
        <f t="shared" si="42"/>
        <v>0.2</v>
      </c>
      <c r="J82" s="461">
        <v>1</v>
      </c>
      <c r="K82" s="468"/>
      <c r="L82" s="380"/>
      <c r="M82" s="394"/>
      <c r="N82" s="382"/>
      <c r="O82" s="382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382"/>
      <c r="AA82" s="382"/>
      <c r="AB82" s="382"/>
      <c r="AC82" s="382"/>
      <c r="AD82" s="382"/>
      <c r="AE82" s="382"/>
      <c r="AF82" s="382"/>
      <c r="AG82" s="382"/>
      <c r="AH82" s="382"/>
      <c r="AI82" s="382"/>
      <c r="AJ82" s="382"/>
      <c r="AK82" s="382"/>
      <c r="AL82" s="383"/>
      <c r="AM82" s="404"/>
      <c r="AN82" s="404"/>
      <c r="AO82" s="405"/>
      <c r="AP82" s="405"/>
      <c r="AQ82" s="414"/>
      <c r="AR82" s="414"/>
      <c r="AS82" s="415"/>
      <c r="AT82" s="415"/>
      <c r="AU82" s="412"/>
      <c r="AV82" s="412"/>
      <c r="AW82" s="413"/>
      <c r="AX82" s="413"/>
      <c r="AY82" s="390"/>
      <c r="AZ82" s="391"/>
      <c r="BA82" s="355"/>
      <c r="BB82" s="459"/>
      <c r="BC82" s="459"/>
      <c r="BD82" s="86"/>
      <c r="BE82" s="86"/>
      <c r="BF82" s="392"/>
    </row>
    <row r="83" spans="1:58" ht="15.75" customHeight="1">
      <c r="A83" s="373"/>
      <c r="B83" s="452"/>
      <c r="C83" s="469" t="s">
        <v>271</v>
      </c>
      <c r="D83" s="472" t="s">
        <v>271</v>
      </c>
      <c r="E83" s="172"/>
      <c r="F83" s="172"/>
      <c r="G83" s="173">
        <v>0.32</v>
      </c>
      <c r="H83" s="172">
        <v>3.8</v>
      </c>
      <c r="I83" s="172">
        <f t="shared" si="42"/>
        <v>0.95</v>
      </c>
      <c r="J83" s="461">
        <v>5</v>
      </c>
      <c r="K83" s="468"/>
      <c r="L83" s="380"/>
      <c r="M83" s="394"/>
      <c r="N83" s="382"/>
      <c r="O83" s="382"/>
      <c r="P83" s="382"/>
      <c r="Q83" s="382"/>
      <c r="R83" s="382"/>
      <c r="S83" s="382"/>
      <c r="T83" s="382"/>
      <c r="U83" s="382"/>
      <c r="V83" s="382"/>
      <c r="W83" s="382"/>
      <c r="X83" s="382"/>
      <c r="Y83" s="382"/>
      <c r="Z83" s="382"/>
      <c r="AA83" s="382"/>
      <c r="AB83" s="382"/>
      <c r="AC83" s="382"/>
      <c r="AD83" s="382"/>
      <c r="AE83" s="382"/>
      <c r="AF83" s="382"/>
      <c r="AG83" s="382"/>
      <c r="AH83" s="382"/>
      <c r="AI83" s="382"/>
      <c r="AJ83" s="382"/>
      <c r="AK83" s="382"/>
      <c r="AL83" s="383"/>
      <c r="AM83" s="404"/>
      <c r="AN83" s="404"/>
      <c r="AO83" s="405"/>
      <c r="AP83" s="405"/>
      <c r="AQ83" s="414"/>
      <c r="AR83" s="414"/>
      <c r="AS83" s="415"/>
      <c r="AT83" s="415"/>
      <c r="AU83" s="412"/>
      <c r="AV83" s="412"/>
      <c r="AW83" s="413"/>
      <c r="AX83" s="413"/>
      <c r="AY83" s="390"/>
      <c r="AZ83" s="391"/>
      <c r="BA83" s="355"/>
      <c r="BB83" s="459"/>
      <c r="BC83" s="459"/>
      <c r="BD83" s="86"/>
      <c r="BE83" s="86"/>
      <c r="BF83" s="392"/>
    </row>
    <row r="84" spans="1:58" ht="15.75" customHeight="1">
      <c r="A84" s="373"/>
      <c r="B84" s="452"/>
      <c r="C84" s="469"/>
      <c r="D84" s="472" t="s">
        <v>272</v>
      </c>
      <c r="E84" s="172"/>
      <c r="F84" s="172"/>
      <c r="G84" s="173">
        <v>0.25</v>
      </c>
      <c r="H84" s="172">
        <v>2</v>
      </c>
      <c r="I84" s="172">
        <f t="shared" si="42"/>
        <v>0.5</v>
      </c>
      <c r="J84" s="461">
        <v>2.5</v>
      </c>
      <c r="K84" s="468"/>
      <c r="L84" s="380"/>
      <c r="M84" s="394"/>
      <c r="N84" s="382"/>
      <c r="O84" s="382"/>
      <c r="P84" s="382"/>
      <c r="Q84" s="382"/>
      <c r="R84" s="382"/>
      <c r="S84" s="382"/>
      <c r="T84" s="382"/>
      <c r="U84" s="382"/>
      <c r="V84" s="382"/>
      <c r="W84" s="382"/>
      <c r="X84" s="382"/>
      <c r="Y84" s="382"/>
      <c r="Z84" s="382"/>
      <c r="AA84" s="382"/>
      <c r="AB84" s="382"/>
      <c r="AC84" s="382"/>
      <c r="AD84" s="382"/>
      <c r="AE84" s="382"/>
      <c r="AF84" s="382"/>
      <c r="AG84" s="382"/>
      <c r="AH84" s="382"/>
      <c r="AI84" s="382"/>
      <c r="AJ84" s="382"/>
      <c r="AK84" s="382"/>
      <c r="AL84" s="383"/>
      <c r="AM84" s="404"/>
      <c r="AN84" s="404"/>
      <c r="AO84" s="405"/>
      <c r="AP84" s="405"/>
      <c r="AQ84" s="414"/>
      <c r="AR84" s="414"/>
      <c r="AS84" s="415"/>
      <c r="AT84" s="415"/>
      <c r="AU84" s="412"/>
      <c r="AV84" s="412"/>
      <c r="AW84" s="413"/>
      <c r="AX84" s="413"/>
      <c r="AY84" s="390"/>
      <c r="AZ84" s="391"/>
      <c r="BA84" s="355"/>
      <c r="BB84" s="459"/>
      <c r="BC84" s="459"/>
      <c r="BD84" s="86"/>
      <c r="BE84" s="86"/>
      <c r="BF84" s="392"/>
    </row>
    <row r="85" spans="1:58" ht="15.75" customHeight="1">
      <c r="A85" s="373"/>
      <c r="B85" s="452"/>
      <c r="C85" s="469" t="s">
        <v>273</v>
      </c>
      <c r="D85" s="472" t="s">
        <v>274</v>
      </c>
      <c r="E85" s="172"/>
      <c r="F85" s="172"/>
      <c r="G85" s="173">
        <v>0.25</v>
      </c>
      <c r="H85" s="172">
        <v>3.1</v>
      </c>
      <c r="I85" s="172">
        <f t="shared" si="42"/>
        <v>0.775</v>
      </c>
      <c r="J85" s="461">
        <v>3.9</v>
      </c>
      <c r="K85" s="468"/>
      <c r="L85" s="380"/>
      <c r="M85" s="394"/>
      <c r="N85" s="382"/>
      <c r="O85" s="382"/>
      <c r="P85" s="382"/>
      <c r="Q85" s="382"/>
      <c r="R85" s="382"/>
      <c r="S85" s="382"/>
      <c r="T85" s="382"/>
      <c r="U85" s="382"/>
      <c r="V85" s="382"/>
      <c r="W85" s="382"/>
      <c r="X85" s="382"/>
      <c r="Y85" s="382"/>
      <c r="Z85" s="382"/>
      <c r="AA85" s="382"/>
      <c r="AB85" s="382"/>
      <c r="AC85" s="382"/>
      <c r="AD85" s="382"/>
      <c r="AE85" s="382"/>
      <c r="AF85" s="382"/>
      <c r="AG85" s="382"/>
      <c r="AH85" s="382"/>
      <c r="AI85" s="382"/>
      <c r="AJ85" s="382"/>
      <c r="AK85" s="382"/>
      <c r="AL85" s="383"/>
      <c r="AM85" s="404"/>
      <c r="AN85" s="404"/>
      <c r="AO85" s="405"/>
      <c r="AP85" s="405"/>
      <c r="AQ85" s="414"/>
      <c r="AR85" s="414"/>
      <c r="AS85" s="415"/>
      <c r="AT85" s="415"/>
      <c r="AU85" s="412"/>
      <c r="AV85" s="412"/>
      <c r="AW85" s="413"/>
      <c r="AX85" s="413"/>
      <c r="AY85" s="390"/>
      <c r="AZ85" s="391"/>
      <c r="BA85" s="355"/>
      <c r="BB85" s="459"/>
      <c r="BC85" s="459"/>
      <c r="BD85" s="86"/>
      <c r="BE85" s="86"/>
      <c r="BF85" s="392"/>
    </row>
    <row r="86" spans="1:58" ht="15.75" customHeight="1">
      <c r="A86" s="373"/>
      <c r="B86" s="452"/>
      <c r="C86" s="469"/>
      <c r="D86" s="472" t="s">
        <v>275</v>
      </c>
      <c r="E86" s="172"/>
      <c r="F86" s="172"/>
      <c r="G86" s="173">
        <v>0.25</v>
      </c>
      <c r="H86" s="172">
        <v>6</v>
      </c>
      <c r="I86" s="172">
        <f t="shared" si="42"/>
        <v>1.5</v>
      </c>
      <c r="J86" s="461">
        <v>7.5</v>
      </c>
      <c r="K86" s="468"/>
      <c r="L86" s="380"/>
      <c r="M86" s="394"/>
      <c r="N86" s="382"/>
      <c r="O86" s="382"/>
      <c r="P86" s="382"/>
      <c r="Q86" s="382"/>
      <c r="R86" s="382"/>
      <c r="S86" s="382"/>
      <c r="T86" s="382"/>
      <c r="U86" s="382"/>
      <c r="V86" s="382"/>
      <c r="W86" s="382"/>
      <c r="X86" s="382"/>
      <c r="Y86" s="382"/>
      <c r="Z86" s="382"/>
      <c r="AA86" s="382"/>
      <c r="AB86" s="382"/>
      <c r="AC86" s="382"/>
      <c r="AD86" s="382"/>
      <c r="AE86" s="382"/>
      <c r="AF86" s="382"/>
      <c r="AG86" s="382"/>
      <c r="AH86" s="382"/>
      <c r="AI86" s="382"/>
      <c r="AJ86" s="382"/>
      <c r="AK86" s="382"/>
      <c r="AL86" s="383"/>
      <c r="AM86" s="404"/>
      <c r="AN86" s="404"/>
      <c r="AO86" s="405"/>
      <c r="AP86" s="405"/>
      <c r="AQ86" s="414"/>
      <c r="AR86" s="414"/>
      <c r="AS86" s="415"/>
      <c r="AT86" s="415"/>
      <c r="AU86" s="412"/>
      <c r="AV86" s="412"/>
      <c r="AW86" s="413"/>
      <c r="AX86" s="413"/>
      <c r="AY86" s="390"/>
      <c r="AZ86" s="391"/>
      <c r="BA86" s="355"/>
      <c r="BB86" s="459"/>
      <c r="BC86" s="459"/>
      <c r="BD86" s="86"/>
      <c r="BE86" s="86"/>
      <c r="BF86" s="392"/>
    </row>
    <row r="87" spans="1:58" ht="15.75" customHeight="1">
      <c r="A87" s="373"/>
      <c r="B87" s="452"/>
      <c r="C87" s="469"/>
      <c r="D87" s="472" t="s">
        <v>276</v>
      </c>
      <c r="E87" s="172"/>
      <c r="F87" s="172"/>
      <c r="G87" s="173">
        <v>0.25</v>
      </c>
      <c r="H87" s="172">
        <v>1.6</v>
      </c>
      <c r="I87" s="172">
        <f t="shared" si="42"/>
        <v>0.4</v>
      </c>
      <c r="J87" s="461">
        <v>2</v>
      </c>
      <c r="K87" s="468"/>
      <c r="L87" s="380"/>
      <c r="M87" s="394"/>
      <c r="N87" s="382"/>
      <c r="O87" s="382"/>
      <c r="P87" s="382"/>
      <c r="Q87" s="382"/>
      <c r="R87" s="382"/>
      <c r="S87" s="382"/>
      <c r="T87" s="382"/>
      <c r="U87" s="382"/>
      <c r="V87" s="382"/>
      <c r="W87" s="382"/>
      <c r="X87" s="382"/>
      <c r="Y87" s="382"/>
      <c r="Z87" s="382"/>
      <c r="AA87" s="382"/>
      <c r="AB87" s="382"/>
      <c r="AC87" s="382"/>
      <c r="AD87" s="382"/>
      <c r="AE87" s="382"/>
      <c r="AF87" s="382"/>
      <c r="AG87" s="382"/>
      <c r="AH87" s="382"/>
      <c r="AI87" s="382"/>
      <c r="AJ87" s="382"/>
      <c r="AK87" s="382"/>
      <c r="AL87" s="383"/>
      <c r="AM87" s="404"/>
      <c r="AN87" s="404"/>
      <c r="AO87" s="405"/>
      <c r="AP87" s="405"/>
      <c r="AQ87" s="414"/>
      <c r="AR87" s="414"/>
      <c r="AS87" s="415"/>
      <c r="AT87" s="415"/>
      <c r="AU87" s="412"/>
      <c r="AV87" s="412"/>
      <c r="AW87" s="413"/>
      <c r="AX87" s="413"/>
      <c r="AY87" s="390"/>
      <c r="AZ87" s="391"/>
      <c r="BA87" s="355"/>
      <c r="BB87" s="459"/>
      <c r="BC87" s="459"/>
      <c r="BD87" s="86"/>
      <c r="BE87" s="86"/>
      <c r="BF87" s="392"/>
    </row>
    <row r="88" spans="1:58" ht="15.75" customHeight="1">
      <c r="A88" s="373"/>
      <c r="B88" s="452"/>
      <c r="C88" s="469"/>
      <c r="D88" s="472" t="s">
        <v>277</v>
      </c>
      <c r="E88" s="173" t="s">
        <v>278</v>
      </c>
      <c r="F88" s="173"/>
      <c r="G88" s="173"/>
      <c r="H88" s="173"/>
      <c r="I88" s="173"/>
      <c r="J88" s="461">
        <v>9.95</v>
      </c>
      <c r="K88" s="468"/>
      <c r="L88" s="380"/>
      <c r="M88" s="394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Z88" s="382"/>
      <c r="AA88" s="382"/>
      <c r="AB88" s="382"/>
      <c r="AC88" s="382"/>
      <c r="AD88" s="382"/>
      <c r="AE88" s="382"/>
      <c r="AF88" s="382"/>
      <c r="AG88" s="382"/>
      <c r="AH88" s="382"/>
      <c r="AI88" s="382"/>
      <c r="AJ88" s="382"/>
      <c r="AK88" s="382"/>
      <c r="AL88" s="383"/>
      <c r="AM88" s="404"/>
      <c r="AN88" s="404"/>
      <c r="AO88" s="405"/>
      <c r="AP88" s="405"/>
      <c r="AQ88" s="414"/>
      <c r="AR88" s="414"/>
      <c r="AS88" s="415"/>
      <c r="AT88" s="415"/>
      <c r="AU88" s="412"/>
      <c r="AV88" s="412"/>
      <c r="AW88" s="413"/>
      <c r="AX88" s="413"/>
      <c r="AY88" s="390"/>
      <c r="AZ88" s="391"/>
      <c r="BA88" s="355"/>
      <c r="BB88" s="459"/>
      <c r="BC88" s="459"/>
      <c r="BD88" s="86"/>
      <c r="BE88" s="86"/>
      <c r="BF88" s="392"/>
    </row>
    <row r="89" spans="1:58" ht="15.75" customHeight="1">
      <c r="A89" s="373"/>
      <c r="B89" s="452"/>
      <c r="C89" s="469"/>
      <c r="D89" s="472" t="s">
        <v>279</v>
      </c>
      <c r="E89" s="173"/>
      <c r="F89" s="173"/>
      <c r="G89" s="173"/>
      <c r="H89" s="173"/>
      <c r="I89" s="173"/>
      <c r="J89" s="461">
        <v>11.25</v>
      </c>
      <c r="K89" s="468"/>
      <c r="L89" s="380"/>
      <c r="M89" s="394"/>
      <c r="N89" s="382"/>
      <c r="O89" s="382"/>
      <c r="P89" s="382"/>
      <c r="Q89" s="382"/>
      <c r="R89" s="382"/>
      <c r="S89" s="382"/>
      <c r="T89" s="382"/>
      <c r="U89" s="382"/>
      <c r="V89" s="382"/>
      <c r="W89" s="382"/>
      <c r="X89" s="382"/>
      <c r="Y89" s="382"/>
      <c r="Z89" s="382"/>
      <c r="AA89" s="382"/>
      <c r="AB89" s="382"/>
      <c r="AC89" s="382"/>
      <c r="AD89" s="382"/>
      <c r="AE89" s="382"/>
      <c r="AF89" s="382"/>
      <c r="AG89" s="382"/>
      <c r="AH89" s="382"/>
      <c r="AI89" s="382"/>
      <c r="AJ89" s="382"/>
      <c r="AK89" s="382"/>
      <c r="AL89" s="383"/>
      <c r="AM89" s="404"/>
      <c r="AN89" s="404"/>
      <c r="AO89" s="405"/>
      <c r="AP89" s="405"/>
      <c r="AQ89" s="414"/>
      <c r="AR89" s="414"/>
      <c r="AS89" s="415"/>
      <c r="AT89" s="415"/>
      <c r="AU89" s="412"/>
      <c r="AV89" s="412"/>
      <c r="AW89" s="413"/>
      <c r="AX89" s="413"/>
      <c r="AY89" s="390"/>
      <c r="AZ89" s="391"/>
      <c r="BA89" s="355"/>
      <c r="BB89" s="459"/>
      <c r="BC89" s="459"/>
      <c r="BD89" s="86"/>
      <c r="BE89" s="86"/>
      <c r="BF89" s="392"/>
    </row>
    <row r="90" spans="1:58" ht="15.75" customHeight="1">
      <c r="A90" s="373"/>
      <c r="B90" s="452"/>
      <c r="C90" s="469"/>
      <c r="D90" s="472" t="s">
        <v>280</v>
      </c>
      <c r="E90" s="173"/>
      <c r="F90" s="173"/>
      <c r="G90" s="173"/>
      <c r="H90" s="173"/>
      <c r="I90" s="173"/>
      <c r="J90" s="461">
        <v>2.8</v>
      </c>
      <c r="K90" s="468"/>
      <c r="L90" s="380"/>
      <c r="M90" s="394"/>
      <c r="N90" s="382"/>
      <c r="O90" s="382"/>
      <c r="P90" s="382"/>
      <c r="Q90" s="382"/>
      <c r="R90" s="382"/>
      <c r="S90" s="382"/>
      <c r="T90" s="382"/>
      <c r="U90" s="382"/>
      <c r="V90" s="382"/>
      <c r="W90" s="382"/>
      <c r="X90" s="382"/>
      <c r="Y90" s="382"/>
      <c r="Z90" s="382"/>
      <c r="AA90" s="382"/>
      <c r="AB90" s="382"/>
      <c r="AC90" s="382"/>
      <c r="AD90" s="382"/>
      <c r="AE90" s="382"/>
      <c r="AF90" s="382"/>
      <c r="AG90" s="382"/>
      <c r="AH90" s="382"/>
      <c r="AI90" s="382"/>
      <c r="AJ90" s="382"/>
      <c r="AK90" s="382"/>
      <c r="AL90" s="383"/>
      <c r="AM90" s="404"/>
      <c r="AN90" s="404"/>
      <c r="AO90" s="405"/>
      <c r="AP90" s="405"/>
      <c r="AQ90" s="414"/>
      <c r="AR90" s="414"/>
      <c r="AS90" s="415"/>
      <c r="AT90" s="415"/>
      <c r="AU90" s="412"/>
      <c r="AV90" s="412"/>
      <c r="AW90" s="413"/>
      <c r="AX90" s="413"/>
      <c r="AY90" s="390"/>
      <c r="AZ90" s="391"/>
      <c r="BA90" s="355"/>
      <c r="BB90" s="459"/>
      <c r="BC90" s="459"/>
      <c r="BD90" s="86"/>
      <c r="BE90" s="86"/>
      <c r="BF90" s="392"/>
    </row>
    <row r="91" spans="1:58" ht="15.75" customHeight="1">
      <c r="A91" s="373"/>
      <c r="B91" s="452"/>
      <c r="C91" s="469"/>
      <c r="D91" s="472" t="s">
        <v>281</v>
      </c>
      <c r="E91" s="173"/>
      <c r="F91" s="173"/>
      <c r="G91" s="173"/>
      <c r="H91" s="173"/>
      <c r="I91" s="173"/>
      <c r="J91" s="461">
        <v>13.99</v>
      </c>
      <c r="K91" s="468"/>
      <c r="L91" s="380"/>
      <c r="M91" s="394"/>
      <c r="N91" s="382"/>
      <c r="O91" s="382"/>
      <c r="P91" s="382"/>
      <c r="Q91" s="382"/>
      <c r="R91" s="382"/>
      <c r="S91" s="382"/>
      <c r="T91" s="382"/>
      <c r="U91" s="382"/>
      <c r="V91" s="382"/>
      <c r="W91" s="382"/>
      <c r="X91" s="382"/>
      <c r="Y91" s="382"/>
      <c r="Z91" s="382"/>
      <c r="AA91" s="382"/>
      <c r="AB91" s="382"/>
      <c r="AC91" s="382"/>
      <c r="AD91" s="382"/>
      <c r="AE91" s="382"/>
      <c r="AF91" s="382"/>
      <c r="AG91" s="382"/>
      <c r="AH91" s="382"/>
      <c r="AI91" s="382"/>
      <c r="AJ91" s="382"/>
      <c r="AK91" s="382"/>
      <c r="AL91" s="383"/>
      <c r="AM91" s="404"/>
      <c r="AN91" s="404"/>
      <c r="AO91" s="405"/>
      <c r="AP91" s="405"/>
      <c r="AQ91" s="414"/>
      <c r="AR91" s="414"/>
      <c r="AS91" s="415"/>
      <c r="AT91" s="415"/>
      <c r="AU91" s="412"/>
      <c r="AV91" s="412"/>
      <c r="AW91" s="413"/>
      <c r="AX91" s="413"/>
      <c r="AY91" s="390"/>
      <c r="AZ91" s="391"/>
      <c r="BA91" s="355"/>
      <c r="BB91" s="459"/>
      <c r="BC91" s="459"/>
      <c r="BD91" s="86"/>
      <c r="BE91" s="86"/>
      <c r="BF91" s="392"/>
    </row>
    <row r="92" spans="1:58" ht="15.75" customHeight="1">
      <c r="A92" s="373"/>
      <c r="B92" s="452"/>
      <c r="C92" s="469"/>
      <c r="D92" s="473" t="s">
        <v>282</v>
      </c>
      <c r="E92" s="172"/>
      <c r="F92" s="172"/>
      <c r="G92" s="173">
        <v>0.25</v>
      </c>
      <c r="H92" s="172">
        <v>25.6</v>
      </c>
      <c r="I92" s="172">
        <f aca="true" t="shared" si="43" ref="I92:I101">H92*25/100</f>
        <v>6.4</v>
      </c>
      <c r="J92" s="461">
        <v>32</v>
      </c>
      <c r="K92" s="468"/>
      <c r="L92" s="380"/>
      <c r="M92" s="394"/>
      <c r="N92" s="382"/>
      <c r="O92" s="382"/>
      <c r="P92" s="382"/>
      <c r="Q92" s="382"/>
      <c r="R92" s="382"/>
      <c r="S92" s="382"/>
      <c r="T92" s="382"/>
      <c r="U92" s="382"/>
      <c r="V92" s="382"/>
      <c r="W92" s="382"/>
      <c r="X92" s="382"/>
      <c r="Y92" s="382"/>
      <c r="Z92" s="382"/>
      <c r="AA92" s="382"/>
      <c r="AB92" s="382"/>
      <c r="AC92" s="382"/>
      <c r="AD92" s="382"/>
      <c r="AE92" s="382"/>
      <c r="AF92" s="382"/>
      <c r="AG92" s="382"/>
      <c r="AH92" s="382"/>
      <c r="AI92" s="382"/>
      <c r="AJ92" s="382"/>
      <c r="AK92" s="382"/>
      <c r="AL92" s="383"/>
      <c r="AM92" s="404"/>
      <c r="AN92" s="404"/>
      <c r="AO92" s="405"/>
      <c r="AP92" s="405"/>
      <c r="AQ92" s="414"/>
      <c r="AR92" s="414"/>
      <c r="AS92" s="415"/>
      <c r="AT92" s="415"/>
      <c r="AU92" s="412"/>
      <c r="AV92" s="412"/>
      <c r="AW92" s="413"/>
      <c r="AX92" s="413"/>
      <c r="AY92" s="390"/>
      <c r="AZ92" s="391"/>
      <c r="BA92" s="355"/>
      <c r="BB92" s="459"/>
      <c r="BC92" s="459"/>
      <c r="BD92" s="86"/>
      <c r="BE92" s="86"/>
      <c r="BF92" s="392"/>
    </row>
    <row r="93" spans="1:58" ht="15.75" customHeight="1">
      <c r="A93" s="373"/>
      <c r="B93" s="452"/>
      <c r="C93" s="469"/>
      <c r="D93" s="472" t="s">
        <v>283</v>
      </c>
      <c r="E93" s="172"/>
      <c r="F93" s="172"/>
      <c r="G93" s="173">
        <v>0.25</v>
      </c>
      <c r="H93" s="172">
        <v>0.9</v>
      </c>
      <c r="I93" s="172">
        <f t="shared" si="43"/>
        <v>0.225</v>
      </c>
      <c r="J93" s="461">
        <v>1.2</v>
      </c>
      <c r="K93" s="468"/>
      <c r="L93" s="380"/>
      <c r="M93" s="394"/>
      <c r="N93" s="382"/>
      <c r="O93" s="382"/>
      <c r="P93" s="382"/>
      <c r="Q93" s="382"/>
      <c r="R93" s="382"/>
      <c r="S93" s="382"/>
      <c r="T93" s="382"/>
      <c r="U93" s="382"/>
      <c r="V93" s="382"/>
      <c r="W93" s="382"/>
      <c r="X93" s="382"/>
      <c r="Y93" s="382"/>
      <c r="Z93" s="382"/>
      <c r="AA93" s="382"/>
      <c r="AB93" s="382"/>
      <c r="AC93" s="382"/>
      <c r="AD93" s="382"/>
      <c r="AE93" s="382"/>
      <c r="AF93" s="382"/>
      <c r="AG93" s="382"/>
      <c r="AH93" s="382"/>
      <c r="AI93" s="382"/>
      <c r="AJ93" s="382"/>
      <c r="AK93" s="382"/>
      <c r="AL93" s="383"/>
      <c r="AM93" s="404"/>
      <c r="AN93" s="404"/>
      <c r="AO93" s="405"/>
      <c r="AP93" s="405"/>
      <c r="AQ93" s="414"/>
      <c r="AR93" s="414"/>
      <c r="AS93" s="415"/>
      <c r="AT93" s="415"/>
      <c r="AU93" s="412"/>
      <c r="AV93" s="412"/>
      <c r="AW93" s="413"/>
      <c r="AX93" s="413"/>
      <c r="AY93" s="390"/>
      <c r="AZ93" s="391"/>
      <c r="BA93" s="355"/>
      <c r="BB93" s="459"/>
      <c r="BC93" s="459"/>
      <c r="BD93" s="86"/>
      <c r="BE93" s="86"/>
      <c r="BF93" s="392"/>
    </row>
    <row r="94" spans="1:58" ht="15.75" customHeight="1">
      <c r="A94" s="373"/>
      <c r="B94" s="452"/>
      <c r="C94" s="469"/>
      <c r="D94" s="470" t="s">
        <v>284</v>
      </c>
      <c r="E94" s="172"/>
      <c r="F94" s="172"/>
      <c r="G94" s="173">
        <v>0.25</v>
      </c>
      <c r="H94" s="172">
        <v>0.9</v>
      </c>
      <c r="I94" s="172">
        <f t="shared" si="43"/>
        <v>0.225</v>
      </c>
      <c r="J94" s="461">
        <v>1.2</v>
      </c>
      <c r="K94" s="468"/>
      <c r="L94" s="380"/>
      <c r="M94" s="394"/>
      <c r="N94" s="382"/>
      <c r="O94" s="382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382"/>
      <c r="AA94" s="382"/>
      <c r="AB94" s="382"/>
      <c r="AC94" s="382"/>
      <c r="AD94" s="382"/>
      <c r="AE94" s="382"/>
      <c r="AF94" s="382"/>
      <c r="AG94" s="382"/>
      <c r="AH94" s="382"/>
      <c r="AI94" s="382"/>
      <c r="AJ94" s="382"/>
      <c r="AK94" s="382"/>
      <c r="AL94" s="383"/>
      <c r="AM94" s="404"/>
      <c r="AN94" s="404"/>
      <c r="AO94" s="405"/>
      <c r="AP94" s="405"/>
      <c r="AQ94" s="414"/>
      <c r="AR94" s="414"/>
      <c r="AS94" s="415"/>
      <c r="AT94" s="415"/>
      <c r="AU94" s="412"/>
      <c r="AV94" s="412"/>
      <c r="AW94" s="413"/>
      <c r="AX94" s="413"/>
      <c r="AY94" s="390"/>
      <c r="AZ94" s="391"/>
      <c r="BA94" s="355"/>
      <c r="BB94" s="459"/>
      <c r="BC94" s="459"/>
      <c r="BD94" s="86"/>
      <c r="BE94" s="86"/>
      <c r="BF94" s="392"/>
    </row>
    <row r="95" spans="1:58" ht="15.75" customHeight="1">
      <c r="A95" s="373"/>
      <c r="B95" s="452"/>
      <c r="C95" s="474"/>
      <c r="D95" s="475" t="s">
        <v>285</v>
      </c>
      <c r="E95" s="476"/>
      <c r="F95" s="476"/>
      <c r="G95" s="477">
        <v>0.25</v>
      </c>
      <c r="H95" s="476">
        <v>0.9</v>
      </c>
      <c r="I95" s="172">
        <f t="shared" si="43"/>
        <v>0.225</v>
      </c>
      <c r="J95" s="478">
        <v>1.2</v>
      </c>
      <c r="K95" s="468"/>
      <c r="L95" s="380"/>
      <c r="M95" s="394"/>
      <c r="N95" s="382"/>
      <c r="O95" s="382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382"/>
      <c r="AA95" s="382"/>
      <c r="AB95" s="382"/>
      <c r="AC95" s="382"/>
      <c r="AD95" s="382"/>
      <c r="AE95" s="382"/>
      <c r="AF95" s="382"/>
      <c r="AG95" s="382"/>
      <c r="AH95" s="382"/>
      <c r="AI95" s="382"/>
      <c r="AJ95" s="382"/>
      <c r="AK95" s="382"/>
      <c r="AL95" s="383"/>
      <c r="AM95" s="404"/>
      <c r="AN95" s="404"/>
      <c r="AO95" s="405"/>
      <c r="AP95" s="405"/>
      <c r="AQ95" s="414"/>
      <c r="AR95" s="414"/>
      <c r="AS95" s="415"/>
      <c r="AT95" s="415"/>
      <c r="AU95" s="412"/>
      <c r="AV95" s="412"/>
      <c r="AW95" s="413"/>
      <c r="AX95" s="413"/>
      <c r="AY95" s="390"/>
      <c r="AZ95" s="391"/>
      <c r="BA95" s="355"/>
      <c r="BB95" s="459"/>
      <c r="BC95" s="459"/>
      <c r="BD95" s="86"/>
      <c r="BE95" s="86"/>
      <c r="BF95" s="392"/>
    </row>
    <row r="96" spans="1:58" ht="15.75" customHeight="1">
      <c r="A96" s="373"/>
      <c r="B96" s="435" t="s">
        <v>286</v>
      </c>
      <c r="C96" s="452"/>
      <c r="D96" s="458" t="s">
        <v>287</v>
      </c>
      <c r="E96" s="479"/>
      <c r="F96" s="479"/>
      <c r="G96" s="423">
        <v>0.25</v>
      </c>
      <c r="H96" s="479">
        <v>4</v>
      </c>
      <c r="I96" s="479">
        <f t="shared" si="43"/>
        <v>1</v>
      </c>
      <c r="J96" s="467">
        <v>5</v>
      </c>
      <c r="K96" s="468"/>
      <c r="L96" s="380"/>
      <c r="M96" s="394"/>
      <c r="N96" s="382"/>
      <c r="O96" s="382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382"/>
      <c r="AA96" s="382"/>
      <c r="AB96" s="382"/>
      <c r="AC96" s="382"/>
      <c r="AD96" s="382"/>
      <c r="AE96" s="382"/>
      <c r="AF96" s="382"/>
      <c r="AG96" s="382"/>
      <c r="AH96" s="382"/>
      <c r="AI96" s="382"/>
      <c r="AJ96" s="382"/>
      <c r="AK96" s="382"/>
      <c r="AL96" s="383"/>
      <c r="AM96" s="404"/>
      <c r="AN96" s="404"/>
      <c r="AO96" s="405"/>
      <c r="AP96" s="405"/>
      <c r="AQ96" s="414"/>
      <c r="AR96" s="414"/>
      <c r="AS96" s="415"/>
      <c r="AT96" s="415"/>
      <c r="AU96" s="412"/>
      <c r="AV96" s="412"/>
      <c r="AW96" s="413"/>
      <c r="AX96" s="413"/>
      <c r="AY96" s="390"/>
      <c r="AZ96" s="391"/>
      <c r="BA96" s="355"/>
      <c r="BB96" s="459"/>
      <c r="BC96" s="459"/>
      <c r="BD96" s="86"/>
      <c r="BE96" s="86"/>
      <c r="BF96" s="392"/>
    </row>
    <row r="97" spans="1:58" ht="15.75" customHeight="1">
      <c r="A97" s="373"/>
      <c r="B97" s="435"/>
      <c r="C97" s="480"/>
      <c r="D97" s="460" t="s">
        <v>288</v>
      </c>
      <c r="E97" s="172"/>
      <c r="F97" s="172"/>
      <c r="G97" s="173">
        <v>0.25</v>
      </c>
      <c r="H97" s="172">
        <v>2.4</v>
      </c>
      <c r="I97" s="172">
        <f t="shared" si="43"/>
        <v>0.6</v>
      </c>
      <c r="J97" s="461">
        <v>3</v>
      </c>
      <c r="K97" s="468"/>
      <c r="L97" s="380"/>
      <c r="M97" s="394"/>
      <c r="N97" s="382"/>
      <c r="O97" s="382"/>
      <c r="P97" s="382"/>
      <c r="Q97" s="382"/>
      <c r="R97" s="382"/>
      <c r="S97" s="382"/>
      <c r="T97" s="382"/>
      <c r="U97" s="382"/>
      <c r="V97" s="382"/>
      <c r="W97" s="382"/>
      <c r="X97" s="382"/>
      <c r="Y97" s="382"/>
      <c r="Z97" s="382"/>
      <c r="AA97" s="382"/>
      <c r="AB97" s="382"/>
      <c r="AC97" s="382"/>
      <c r="AD97" s="382"/>
      <c r="AE97" s="382"/>
      <c r="AF97" s="382"/>
      <c r="AG97" s="382"/>
      <c r="AH97" s="382"/>
      <c r="AI97" s="382"/>
      <c r="AJ97" s="382"/>
      <c r="AK97" s="382"/>
      <c r="AL97" s="383"/>
      <c r="AM97" s="404"/>
      <c r="AN97" s="404"/>
      <c r="AO97" s="405"/>
      <c r="AP97" s="405"/>
      <c r="AQ97" s="414"/>
      <c r="AR97" s="414"/>
      <c r="AS97" s="415"/>
      <c r="AT97" s="415"/>
      <c r="AU97" s="412"/>
      <c r="AV97" s="412"/>
      <c r="AW97" s="413"/>
      <c r="AX97" s="413"/>
      <c r="AY97" s="390"/>
      <c r="AZ97" s="391"/>
      <c r="BA97" s="355"/>
      <c r="BB97" s="459"/>
      <c r="BC97" s="459"/>
      <c r="BD97" s="86"/>
      <c r="BE97" s="86"/>
      <c r="BF97" s="392"/>
    </row>
    <row r="98" spans="1:58" ht="15.75" customHeight="1">
      <c r="A98" s="373"/>
      <c r="B98" s="435"/>
      <c r="C98" s="480"/>
      <c r="D98" s="460" t="s">
        <v>289</v>
      </c>
      <c r="E98" s="172"/>
      <c r="F98" s="172"/>
      <c r="G98" s="173">
        <v>0.25</v>
      </c>
      <c r="H98" s="172">
        <v>1.6</v>
      </c>
      <c r="I98" s="172">
        <f t="shared" si="43"/>
        <v>0.4</v>
      </c>
      <c r="J98" s="461">
        <v>2</v>
      </c>
      <c r="K98" s="468"/>
      <c r="L98" s="380"/>
      <c r="M98" s="394"/>
      <c r="N98" s="382"/>
      <c r="O98" s="382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382"/>
      <c r="AA98" s="382"/>
      <c r="AB98" s="382"/>
      <c r="AC98" s="382"/>
      <c r="AD98" s="382"/>
      <c r="AE98" s="382"/>
      <c r="AF98" s="382"/>
      <c r="AG98" s="382"/>
      <c r="AH98" s="382"/>
      <c r="AI98" s="382"/>
      <c r="AJ98" s="382"/>
      <c r="AK98" s="382"/>
      <c r="AL98" s="383"/>
      <c r="AM98" s="404"/>
      <c r="AN98" s="404"/>
      <c r="AO98" s="405"/>
      <c r="AP98" s="405"/>
      <c r="AQ98" s="414"/>
      <c r="AR98" s="414"/>
      <c r="AS98" s="415"/>
      <c r="AT98" s="415"/>
      <c r="AU98" s="412"/>
      <c r="AV98" s="412"/>
      <c r="AW98" s="413"/>
      <c r="AX98" s="413"/>
      <c r="AY98" s="390"/>
      <c r="AZ98" s="391"/>
      <c r="BA98" s="355"/>
      <c r="BB98" s="459"/>
      <c r="BC98" s="459"/>
      <c r="BD98" s="86"/>
      <c r="BE98" s="86"/>
      <c r="BF98" s="392"/>
    </row>
    <row r="99" spans="1:58" ht="15.75" customHeight="1">
      <c r="A99" s="373"/>
      <c r="B99" s="435"/>
      <c r="C99" s="480"/>
      <c r="D99" s="460" t="s">
        <v>290</v>
      </c>
      <c r="E99" s="172"/>
      <c r="F99" s="172"/>
      <c r="G99" s="173">
        <v>0.25</v>
      </c>
      <c r="H99" s="172">
        <v>1.2</v>
      </c>
      <c r="I99" s="172">
        <f t="shared" si="43"/>
        <v>0.3</v>
      </c>
      <c r="J99" s="461">
        <v>1.5</v>
      </c>
      <c r="K99" s="468"/>
      <c r="L99" s="380"/>
      <c r="M99" s="394"/>
      <c r="N99" s="382"/>
      <c r="O99" s="382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382"/>
      <c r="AA99" s="382"/>
      <c r="AB99" s="382"/>
      <c r="AC99" s="382"/>
      <c r="AD99" s="382"/>
      <c r="AE99" s="382"/>
      <c r="AF99" s="382"/>
      <c r="AG99" s="382"/>
      <c r="AH99" s="382"/>
      <c r="AI99" s="382"/>
      <c r="AJ99" s="382"/>
      <c r="AK99" s="382"/>
      <c r="AL99" s="383"/>
      <c r="AM99" s="404"/>
      <c r="AN99" s="404"/>
      <c r="AO99" s="405"/>
      <c r="AP99" s="405"/>
      <c r="AQ99" s="414"/>
      <c r="AR99" s="414"/>
      <c r="AS99" s="415"/>
      <c r="AT99" s="415"/>
      <c r="AU99" s="412"/>
      <c r="AV99" s="412"/>
      <c r="AW99" s="413"/>
      <c r="AX99" s="413"/>
      <c r="AY99" s="390"/>
      <c r="AZ99" s="391"/>
      <c r="BA99" s="355"/>
      <c r="BB99" s="459"/>
      <c r="BC99" s="459"/>
      <c r="BD99" s="86"/>
      <c r="BE99" s="86"/>
      <c r="BF99" s="392"/>
    </row>
    <row r="100" spans="1:58" ht="15.75" customHeight="1">
      <c r="A100" s="373"/>
      <c r="B100" s="435"/>
      <c r="C100" s="480"/>
      <c r="D100" s="460" t="s">
        <v>291</v>
      </c>
      <c r="E100" s="172"/>
      <c r="F100" s="172"/>
      <c r="G100" s="173">
        <v>0.25</v>
      </c>
      <c r="H100" s="172">
        <v>2.4</v>
      </c>
      <c r="I100" s="172">
        <f t="shared" si="43"/>
        <v>0.6</v>
      </c>
      <c r="J100" s="461">
        <v>3</v>
      </c>
      <c r="K100" s="468"/>
      <c r="L100" s="380"/>
      <c r="M100" s="394"/>
      <c r="N100" s="382"/>
      <c r="O100" s="382"/>
      <c r="P100" s="382"/>
      <c r="Q100" s="382"/>
      <c r="R100" s="382"/>
      <c r="S100" s="382"/>
      <c r="T100" s="382"/>
      <c r="U100" s="382"/>
      <c r="V100" s="382"/>
      <c r="W100" s="382"/>
      <c r="X100" s="382"/>
      <c r="Y100" s="382"/>
      <c r="Z100" s="382"/>
      <c r="AA100" s="382"/>
      <c r="AB100" s="382"/>
      <c r="AC100" s="382"/>
      <c r="AD100" s="382"/>
      <c r="AE100" s="382"/>
      <c r="AF100" s="382"/>
      <c r="AG100" s="382"/>
      <c r="AH100" s="382"/>
      <c r="AI100" s="382"/>
      <c r="AJ100" s="382"/>
      <c r="AK100" s="382"/>
      <c r="AL100" s="383"/>
      <c r="AM100" s="404"/>
      <c r="AN100" s="404"/>
      <c r="AO100" s="405"/>
      <c r="AP100" s="405"/>
      <c r="AQ100" s="414"/>
      <c r="AR100" s="414"/>
      <c r="AS100" s="415"/>
      <c r="AT100" s="415"/>
      <c r="AU100" s="412"/>
      <c r="AV100" s="412"/>
      <c r="AW100" s="413"/>
      <c r="AX100" s="413"/>
      <c r="AY100" s="390"/>
      <c r="AZ100" s="391"/>
      <c r="BA100" s="355"/>
      <c r="BB100" s="459"/>
      <c r="BC100" s="459"/>
      <c r="BD100" s="86"/>
      <c r="BE100" s="86"/>
      <c r="BF100" s="392"/>
    </row>
    <row r="101" spans="1:58" ht="15.75" customHeight="1">
      <c r="A101" s="373"/>
      <c r="B101" s="435"/>
      <c r="C101" s="481"/>
      <c r="D101" s="482" t="s">
        <v>292</v>
      </c>
      <c r="E101" s="483"/>
      <c r="F101" s="483"/>
      <c r="G101" s="484">
        <v>0.25</v>
      </c>
      <c r="H101" s="483">
        <v>4</v>
      </c>
      <c r="I101" s="483">
        <f t="shared" si="43"/>
        <v>1</v>
      </c>
      <c r="J101" s="485">
        <v>5</v>
      </c>
      <c r="K101" s="468"/>
      <c r="L101" s="380"/>
      <c r="M101" s="394"/>
      <c r="N101" s="382"/>
      <c r="O101" s="382"/>
      <c r="P101" s="382"/>
      <c r="Q101" s="382"/>
      <c r="R101" s="382"/>
      <c r="S101" s="382"/>
      <c r="T101" s="382"/>
      <c r="U101" s="382"/>
      <c r="V101" s="382"/>
      <c r="W101" s="382"/>
      <c r="X101" s="382"/>
      <c r="Y101" s="382"/>
      <c r="Z101" s="382"/>
      <c r="AA101" s="382"/>
      <c r="AB101" s="382"/>
      <c r="AC101" s="382"/>
      <c r="AD101" s="382"/>
      <c r="AE101" s="382"/>
      <c r="AF101" s="382"/>
      <c r="AG101" s="382"/>
      <c r="AH101" s="382"/>
      <c r="AI101" s="382"/>
      <c r="AJ101" s="382"/>
      <c r="AK101" s="382"/>
      <c r="AL101" s="383"/>
      <c r="AM101" s="404"/>
      <c r="AN101" s="404"/>
      <c r="AO101" s="405"/>
      <c r="AP101" s="405"/>
      <c r="AQ101" s="414"/>
      <c r="AR101" s="414"/>
      <c r="AS101" s="415"/>
      <c r="AT101" s="415"/>
      <c r="AU101" s="412"/>
      <c r="AV101" s="412"/>
      <c r="AW101" s="413"/>
      <c r="AX101" s="413"/>
      <c r="AY101" s="390"/>
      <c r="AZ101" s="391"/>
      <c r="BA101" s="355"/>
      <c r="BB101" s="459"/>
      <c r="BC101" s="459"/>
      <c r="BD101" s="86"/>
      <c r="BE101" s="86"/>
      <c r="BF101" s="392"/>
    </row>
    <row r="102" spans="1:59" ht="15.75" customHeight="1">
      <c r="A102" s="373"/>
      <c r="B102" s="481" t="s">
        <v>293</v>
      </c>
      <c r="C102" s="481"/>
      <c r="D102" s="462" t="s">
        <v>294</v>
      </c>
      <c r="E102" s="205"/>
      <c r="F102" s="205"/>
      <c r="G102" s="206">
        <v>0.5</v>
      </c>
      <c r="H102" s="205">
        <v>2</v>
      </c>
      <c r="I102" s="205">
        <f aca="true" t="shared" si="44" ref="I102:I107">H102*G102</f>
        <v>1</v>
      </c>
      <c r="J102" s="456">
        <v>3</v>
      </c>
      <c r="K102" s="468"/>
      <c r="L102" s="380"/>
      <c r="M102" s="394"/>
      <c r="N102" s="382"/>
      <c r="O102" s="382"/>
      <c r="P102" s="382"/>
      <c r="Q102" s="382"/>
      <c r="R102" s="382"/>
      <c r="S102" s="382"/>
      <c r="T102" s="382"/>
      <c r="U102" s="382"/>
      <c r="V102" s="382"/>
      <c r="W102" s="382"/>
      <c r="X102" s="382"/>
      <c r="Y102" s="382"/>
      <c r="Z102" s="382"/>
      <c r="AA102" s="382"/>
      <c r="AB102" s="382"/>
      <c r="AC102" s="382"/>
      <c r="AD102" s="382"/>
      <c r="AE102" s="382"/>
      <c r="AF102" s="382"/>
      <c r="AG102" s="382"/>
      <c r="AH102" s="382"/>
      <c r="AI102" s="382"/>
      <c r="AJ102" s="382"/>
      <c r="AK102" s="382"/>
      <c r="AL102" s="383"/>
      <c r="AM102" s="404"/>
      <c r="AN102" s="384"/>
      <c r="AO102" s="397"/>
      <c r="AP102" s="397"/>
      <c r="AQ102" s="414"/>
      <c r="AR102" s="410"/>
      <c r="AS102" s="415"/>
      <c r="AT102" s="415"/>
      <c r="AU102" s="412"/>
      <c r="AV102" s="412"/>
      <c r="AW102" s="413"/>
      <c r="AX102" s="413"/>
      <c r="AY102" s="390"/>
      <c r="AZ102" s="391"/>
      <c r="BA102" s="355"/>
      <c r="BB102" s="459" t="s">
        <v>294</v>
      </c>
      <c r="BC102" s="459"/>
      <c r="BD102" s="86">
        <f aca="true" t="shared" si="45" ref="BD102:BD103">W102+Y102+AA102+AC102+AE102+AG102+AI102+AK102</f>
        <v>0</v>
      </c>
      <c r="BE102" s="86">
        <f aca="true" t="shared" si="46" ref="BE102:BE103">AY102</f>
        <v>0</v>
      </c>
      <c r="BF102" s="392">
        <f aca="true" t="shared" si="47" ref="BF102:BF103">(BC102+BD102)-AY102</f>
        <v>0</v>
      </c>
      <c r="BG102">
        <f>IF(BF102&gt;=6,"Ok","Commande")</f>
        <v>0</v>
      </c>
    </row>
    <row r="103" spans="1:58" ht="15.75" customHeight="1">
      <c r="A103" s="373"/>
      <c r="B103" s="481"/>
      <c r="C103" s="435"/>
      <c r="D103" s="460" t="s">
        <v>295</v>
      </c>
      <c r="E103" s="172"/>
      <c r="F103" s="172"/>
      <c r="G103" s="173">
        <v>0.5</v>
      </c>
      <c r="H103" s="172">
        <v>2</v>
      </c>
      <c r="I103" s="172">
        <f t="shared" si="44"/>
        <v>1</v>
      </c>
      <c r="J103" s="461">
        <v>3</v>
      </c>
      <c r="K103" s="468"/>
      <c r="L103" s="380"/>
      <c r="M103" s="394"/>
      <c r="N103" s="382"/>
      <c r="O103" s="382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382"/>
      <c r="AA103" s="382"/>
      <c r="AB103" s="382"/>
      <c r="AC103" s="382"/>
      <c r="AD103" s="382"/>
      <c r="AE103" s="382"/>
      <c r="AF103" s="382"/>
      <c r="AG103" s="382"/>
      <c r="AH103" s="382"/>
      <c r="AI103" s="382"/>
      <c r="AJ103" s="382"/>
      <c r="AK103" s="382"/>
      <c r="AL103" s="383"/>
      <c r="AM103" s="404"/>
      <c r="AN103" s="384"/>
      <c r="AO103" s="397"/>
      <c r="AP103" s="397"/>
      <c r="AQ103" s="414"/>
      <c r="AR103" s="410"/>
      <c r="AS103" s="415"/>
      <c r="AT103" s="415"/>
      <c r="AU103" s="412"/>
      <c r="AV103" s="412"/>
      <c r="AW103" s="413"/>
      <c r="AX103" s="413"/>
      <c r="AY103" s="390"/>
      <c r="AZ103" s="391"/>
      <c r="BA103" s="355"/>
      <c r="BB103" s="459" t="s">
        <v>296</v>
      </c>
      <c r="BC103" s="459"/>
      <c r="BD103" s="86">
        <f t="shared" si="45"/>
        <v>0</v>
      </c>
      <c r="BE103" s="86">
        <f t="shared" si="46"/>
        <v>0</v>
      </c>
      <c r="BF103" s="392">
        <f t="shared" si="47"/>
        <v>0</v>
      </c>
    </row>
    <row r="104" spans="1:58" ht="15.75" customHeight="1">
      <c r="A104" s="373"/>
      <c r="B104" s="481"/>
      <c r="C104" s="435"/>
      <c r="D104" s="460" t="s">
        <v>297</v>
      </c>
      <c r="E104" s="172"/>
      <c r="F104" s="172"/>
      <c r="G104" s="173">
        <v>0.4</v>
      </c>
      <c r="H104" s="172">
        <v>5</v>
      </c>
      <c r="I104" s="172">
        <f t="shared" si="44"/>
        <v>2</v>
      </c>
      <c r="J104" s="461">
        <v>7</v>
      </c>
      <c r="K104" s="468"/>
      <c r="L104" s="380"/>
      <c r="M104" s="394"/>
      <c r="N104" s="382"/>
      <c r="O104" s="382"/>
      <c r="P104" s="382"/>
      <c r="Q104" s="382"/>
      <c r="R104" s="382"/>
      <c r="S104" s="382"/>
      <c r="T104" s="382"/>
      <c r="U104" s="382"/>
      <c r="V104" s="382"/>
      <c r="W104" s="382"/>
      <c r="X104" s="382"/>
      <c r="Y104" s="382"/>
      <c r="Z104" s="382"/>
      <c r="AA104" s="382"/>
      <c r="AB104" s="382"/>
      <c r="AC104" s="382"/>
      <c r="AD104" s="382"/>
      <c r="AE104" s="382"/>
      <c r="AF104" s="382"/>
      <c r="AG104" s="382"/>
      <c r="AH104" s="382"/>
      <c r="AI104" s="382"/>
      <c r="AJ104" s="382"/>
      <c r="AK104" s="382"/>
      <c r="AL104" s="383"/>
      <c r="AM104" s="404"/>
      <c r="AN104" s="384"/>
      <c r="AO104" s="397"/>
      <c r="AP104" s="397"/>
      <c r="AQ104" s="414"/>
      <c r="AR104" s="410"/>
      <c r="AS104" s="415"/>
      <c r="AT104" s="415"/>
      <c r="AU104" s="412"/>
      <c r="AV104" s="412"/>
      <c r="AW104" s="413"/>
      <c r="AX104" s="413"/>
      <c r="AY104" s="390"/>
      <c r="AZ104" s="391"/>
      <c r="BA104" s="355"/>
      <c r="BB104" s="459"/>
      <c r="BC104" s="459"/>
      <c r="BD104" s="86"/>
      <c r="BE104" s="86"/>
      <c r="BF104" s="392"/>
    </row>
    <row r="105" spans="1:58" ht="15.75" customHeight="1">
      <c r="A105" s="373"/>
      <c r="B105" s="481"/>
      <c r="C105" s="435"/>
      <c r="D105" s="460" t="s">
        <v>237</v>
      </c>
      <c r="E105" s="172"/>
      <c r="F105" s="172"/>
      <c r="G105" s="173">
        <v>0.5</v>
      </c>
      <c r="H105" s="172">
        <v>2</v>
      </c>
      <c r="I105" s="172">
        <f t="shared" si="44"/>
        <v>1</v>
      </c>
      <c r="J105" s="461">
        <v>3</v>
      </c>
      <c r="K105" s="468"/>
      <c r="L105" s="380"/>
      <c r="M105" s="394"/>
      <c r="N105" s="382"/>
      <c r="O105" s="382"/>
      <c r="P105" s="382"/>
      <c r="Q105" s="382"/>
      <c r="R105" s="382"/>
      <c r="S105" s="382"/>
      <c r="T105" s="382"/>
      <c r="U105" s="382"/>
      <c r="V105" s="382"/>
      <c r="W105" s="382"/>
      <c r="X105" s="382"/>
      <c r="Y105" s="382"/>
      <c r="Z105" s="382"/>
      <c r="AA105" s="382"/>
      <c r="AB105" s="382"/>
      <c r="AC105" s="382"/>
      <c r="AD105" s="382"/>
      <c r="AE105" s="382"/>
      <c r="AF105" s="382"/>
      <c r="AG105" s="382"/>
      <c r="AH105" s="382"/>
      <c r="AI105" s="382"/>
      <c r="AJ105" s="382"/>
      <c r="AK105" s="382"/>
      <c r="AL105" s="383"/>
      <c r="AM105" s="404"/>
      <c r="AN105" s="384"/>
      <c r="AO105" s="397"/>
      <c r="AP105" s="397"/>
      <c r="AQ105" s="414"/>
      <c r="AR105" s="410"/>
      <c r="AS105" s="415"/>
      <c r="AT105" s="415"/>
      <c r="AU105" s="412"/>
      <c r="AV105" s="412"/>
      <c r="AW105" s="413"/>
      <c r="AX105" s="413"/>
      <c r="AY105" s="390"/>
      <c r="AZ105" s="391"/>
      <c r="BA105" s="355"/>
      <c r="BB105" s="459"/>
      <c r="BC105" s="459"/>
      <c r="BD105" s="86"/>
      <c r="BE105" s="86"/>
      <c r="BF105" s="392"/>
    </row>
    <row r="106" spans="1:58" ht="15.75" customHeight="1">
      <c r="A106" s="373"/>
      <c r="B106" s="481"/>
      <c r="C106" s="435"/>
      <c r="D106" s="460" t="s">
        <v>298</v>
      </c>
      <c r="E106" s="172"/>
      <c r="F106" s="172"/>
      <c r="G106" s="173">
        <v>0.2</v>
      </c>
      <c r="H106" s="172">
        <v>10</v>
      </c>
      <c r="I106" s="172">
        <f t="shared" si="44"/>
        <v>2</v>
      </c>
      <c r="J106" s="461">
        <v>12</v>
      </c>
      <c r="K106" s="468"/>
      <c r="L106" s="380"/>
      <c r="M106" s="394"/>
      <c r="N106" s="382"/>
      <c r="O106" s="382"/>
      <c r="P106" s="382"/>
      <c r="Q106" s="382"/>
      <c r="R106" s="382"/>
      <c r="S106" s="382"/>
      <c r="T106" s="382"/>
      <c r="U106" s="382"/>
      <c r="V106" s="382"/>
      <c r="W106" s="382"/>
      <c r="X106" s="382"/>
      <c r="Y106" s="382"/>
      <c r="Z106" s="382"/>
      <c r="AA106" s="382"/>
      <c r="AB106" s="382"/>
      <c r="AC106" s="382"/>
      <c r="AD106" s="382"/>
      <c r="AE106" s="382"/>
      <c r="AF106" s="382"/>
      <c r="AG106" s="382"/>
      <c r="AH106" s="382"/>
      <c r="AI106" s="382"/>
      <c r="AJ106" s="382"/>
      <c r="AK106" s="382"/>
      <c r="AL106" s="383"/>
      <c r="AM106" s="404"/>
      <c r="AN106" s="384"/>
      <c r="AO106" s="397"/>
      <c r="AP106" s="397"/>
      <c r="AQ106" s="414"/>
      <c r="AR106" s="410"/>
      <c r="AS106" s="415"/>
      <c r="AT106" s="415"/>
      <c r="AU106" s="412"/>
      <c r="AV106" s="412"/>
      <c r="AW106" s="413"/>
      <c r="AX106" s="413"/>
      <c r="AY106" s="390"/>
      <c r="AZ106" s="391"/>
      <c r="BA106" s="355"/>
      <c r="BB106" s="459"/>
      <c r="BC106" s="459"/>
      <c r="BD106" s="86"/>
      <c r="BE106" s="86"/>
      <c r="BF106" s="392"/>
    </row>
    <row r="107" spans="1:58" ht="15.75" customHeight="1">
      <c r="A107" s="373"/>
      <c r="B107" s="481"/>
      <c r="C107" s="435"/>
      <c r="D107" s="460" t="s">
        <v>299</v>
      </c>
      <c r="E107" s="172"/>
      <c r="F107" s="172"/>
      <c r="G107" s="173">
        <v>1</v>
      </c>
      <c r="H107" s="172">
        <v>10</v>
      </c>
      <c r="I107" s="172">
        <f t="shared" si="44"/>
        <v>10</v>
      </c>
      <c r="J107" s="461">
        <v>20</v>
      </c>
      <c r="K107" s="468"/>
      <c r="L107" s="380"/>
      <c r="M107" s="394"/>
      <c r="N107" s="382"/>
      <c r="O107" s="382"/>
      <c r="P107" s="382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  <c r="AB107" s="382"/>
      <c r="AC107" s="382"/>
      <c r="AD107" s="382"/>
      <c r="AE107" s="382"/>
      <c r="AF107" s="382"/>
      <c r="AG107" s="382"/>
      <c r="AH107" s="382"/>
      <c r="AI107" s="382"/>
      <c r="AJ107" s="382"/>
      <c r="AK107" s="382"/>
      <c r="AL107" s="383"/>
      <c r="AM107" s="404"/>
      <c r="AN107" s="384"/>
      <c r="AO107" s="397"/>
      <c r="AP107" s="397"/>
      <c r="AQ107" s="414"/>
      <c r="AR107" s="410"/>
      <c r="AS107" s="415"/>
      <c r="AT107" s="415"/>
      <c r="AU107" s="412"/>
      <c r="AV107" s="412"/>
      <c r="AW107" s="413"/>
      <c r="AX107" s="413"/>
      <c r="AY107" s="390"/>
      <c r="AZ107" s="391"/>
      <c r="BA107" s="355"/>
      <c r="BB107" s="459"/>
      <c r="BC107" s="459"/>
      <c r="BD107" s="86"/>
      <c r="BE107" s="86"/>
      <c r="BF107" s="392"/>
    </row>
    <row r="108" spans="1:58" ht="15.75" customHeight="1">
      <c r="A108" s="373"/>
      <c r="B108" s="481"/>
      <c r="C108" s="435"/>
      <c r="D108" s="482" t="s">
        <v>300</v>
      </c>
      <c r="E108" s="483"/>
      <c r="F108" s="483"/>
      <c r="G108" s="484">
        <v>0.67</v>
      </c>
      <c r="H108" s="483">
        <v>3</v>
      </c>
      <c r="I108" s="483">
        <f>H108*50/100</f>
        <v>1.5</v>
      </c>
      <c r="J108" s="486">
        <v>5</v>
      </c>
      <c r="K108" s="468"/>
      <c r="L108" s="380"/>
      <c r="M108" s="394"/>
      <c r="N108" s="382"/>
      <c r="O108" s="382"/>
      <c r="P108" s="382"/>
      <c r="Q108" s="382"/>
      <c r="R108" s="382"/>
      <c r="S108" s="382"/>
      <c r="T108" s="382"/>
      <c r="U108" s="382"/>
      <c r="V108" s="382"/>
      <c r="W108" s="382"/>
      <c r="X108" s="382"/>
      <c r="Y108" s="382"/>
      <c r="Z108" s="382"/>
      <c r="AA108" s="382"/>
      <c r="AB108" s="382"/>
      <c r="AC108" s="382"/>
      <c r="AD108" s="382"/>
      <c r="AE108" s="382"/>
      <c r="AF108" s="382"/>
      <c r="AG108" s="382"/>
      <c r="AH108" s="382"/>
      <c r="AI108" s="382"/>
      <c r="AJ108" s="382"/>
      <c r="AK108" s="382"/>
      <c r="AL108" s="383"/>
      <c r="AM108" s="404"/>
      <c r="AN108" s="384"/>
      <c r="AO108" s="397"/>
      <c r="AP108" s="397"/>
      <c r="AQ108" s="414"/>
      <c r="AR108" s="410"/>
      <c r="AS108" s="415"/>
      <c r="AT108" s="415"/>
      <c r="AU108" s="412"/>
      <c r="AV108" s="412"/>
      <c r="AW108" s="413"/>
      <c r="AX108" s="413"/>
      <c r="AY108" s="390"/>
      <c r="AZ108" s="391"/>
      <c r="BA108" s="355"/>
      <c r="BB108" s="459" t="s">
        <v>300</v>
      </c>
      <c r="BC108" s="459"/>
      <c r="BD108" s="86">
        <f>W108+Y108+AA108+AC108+AE108+AG108+AI108+AK108</f>
        <v>0</v>
      </c>
      <c r="BE108" s="86">
        <f>AY108</f>
        <v>0</v>
      </c>
      <c r="BF108" s="392">
        <f>(BC108+BD108)-AY108</f>
        <v>0</v>
      </c>
    </row>
    <row r="109" spans="1:58" ht="15.75" customHeight="1">
      <c r="A109" s="373"/>
      <c r="B109" s="435" t="s">
        <v>301</v>
      </c>
      <c r="C109" s="435"/>
      <c r="D109" s="439" t="s">
        <v>302</v>
      </c>
      <c r="E109" s="377">
        <v>4.8</v>
      </c>
      <c r="F109" s="377">
        <f aca="true" t="shared" si="48" ref="F109:F111">E109*0.37</f>
        <v>1.776</v>
      </c>
      <c r="G109" s="379">
        <f aca="true" t="shared" si="49" ref="G109:G147">F109/E109</f>
        <v>0.37</v>
      </c>
      <c r="H109" s="377">
        <f aca="true" t="shared" si="50" ref="H109:H111">E109*1.37</f>
        <v>6.5760000000000005</v>
      </c>
      <c r="I109" s="377">
        <f aca="true" t="shared" si="51" ref="I109:I149">H109*1.2</f>
        <v>7.8912</v>
      </c>
      <c r="J109" s="378">
        <v>7.9</v>
      </c>
      <c r="K109" s="487"/>
      <c r="L109" s="380"/>
      <c r="M109" s="394"/>
      <c r="N109" s="382"/>
      <c r="O109" s="382"/>
      <c r="P109" s="382"/>
      <c r="Q109" s="382"/>
      <c r="R109" s="382"/>
      <c r="S109" s="382"/>
      <c r="T109" s="382"/>
      <c r="U109" s="382"/>
      <c r="V109" s="382"/>
      <c r="W109" s="382"/>
      <c r="X109" s="382"/>
      <c r="Y109" s="382"/>
      <c r="Z109" s="382"/>
      <c r="AA109" s="382"/>
      <c r="AB109" s="382"/>
      <c r="AC109" s="382"/>
      <c r="AD109" s="382"/>
      <c r="AE109" s="382"/>
      <c r="AF109" s="382"/>
      <c r="AG109" s="382"/>
      <c r="AH109" s="382"/>
      <c r="AI109" s="382"/>
      <c r="AJ109" s="382"/>
      <c r="AK109" s="382"/>
      <c r="AL109" s="383"/>
      <c r="AM109" s="404"/>
      <c r="AN109" s="384"/>
      <c r="AO109" s="397"/>
      <c r="AP109" s="397"/>
      <c r="AQ109" s="414"/>
      <c r="AR109" s="410"/>
      <c r="AS109" s="415"/>
      <c r="AT109" s="415"/>
      <c r="AU109" s="412"/>
      <c r="AV109" s="412"/>
      <c r="AW109" s="413"/>
      <c r="AX109" s="413"/>
      <c r="AY109" s="390"/>
      <c r="AZ109" s="391"/>
      <c r="BA109" s="355"/>
      <c r="BB109" s="459"/>
      <c r="BC109" s="459"/>
      <c r="BD109" s="86"/>
      <c r="BE109" s="86"/>
      <c r="BF109" s="392"/>
    </row>
    <row r="110" spans="1:58" ht="15.75" customHeight="1">
      <c r="A110" s="373"/>
      <c r="B110" s="435"/>
      <c r="C110" s="435"/>
      <c r="D110" s="439" t="s">
        <v>303</v>
      </c>
      <c r="E110" s="377">
        <v>4.8</v>
      </c>
      <c r="F110" s="377">
        <f t="shared" si="48"/>
        <v>1.776</v>
      </c>
      <c r="G110" s="379">
        <f t="shared" si="49"/>
        <v>0.37</v>
      </c>
      <c r="H110" s="377">
        <f t="shared" si="50"/>
        <v>6.5760000000000005</v>
      </c>
      <c r="I110" s="377">
        <f t="shared" si="51"/>
        <v>7.8912</v>
      </c>
      <c r="J110" s="378">
        <v>7.9</v>
      </c>
      <c r="K110" s="487"/>
      <c r="L110" s="380"/>
      <c r="M110" s="394"/>
      <c r="N110" s="382"/>
      <c r="O110" s="382"/>
      <c r="P110" s="382"/>
      <c r="Q110" s="382"/>
      <c r="R110" s="382"/>
      <c r="S110" s="382"/>
      <c r="T110" s="382"/>
      <c r="U110" s="382"/>
      <c r="V110" s="382"/>
      <c r="W110" s="382"/>
      <c r="X110" s="382"/>
      <c r="Y110" s="382"/>
      <c r="Z110" s="382"/>
      <c r="AA110" s="382"/>
      <c r="AB110" s="382"/>
      <c r="AC110" s="382"/>
      <c r="AD110" s="382"/>
      <c r="AE110" s="382"/>
      <c r="AF110" s="382"/>
      <c r="AG110" s="382"/>
      <c r="AH110" s="382"/>
      <c r="AI110" s="382"/>
      <c r="AJ110" s="382"/>
      <c r="AK110" s="382"/>
      <c r="AL110" s="383"/>
      <c r="AM110" s="404"/>
      <c r="AN110" s="384"/>
      <c r="AO110" s="397"/>
      <c r="AP110" s="397"/>
      <c r="AQ110" s="414"/>
      <c r="AR110" s="410"/>
      <c r="AS110" s="415"/>
      <c r="AT110" s="415"/>
      <c r="AU110" s="412"/>
      <c r="AV110" s="412"/>
      <c r="AW110" s="413"/>
      <c r="AX110" s="413"/>
      <c r="AY110" s="390"/>
      <c r="AZ110" s="391"/>
      <c r="BA110" s="355"/>
      <c r="BB110" s="459"/>
      <c r="BC110" s="459"/>
      <c r="BD110" s="86"/>
      <c r="BE110" s="86"/>
      <c r="BF110" s="392"/>
    </row>
    <row r="111" spans="1:58" ht="15.75" customHeight="1">
      <c r="A111" s="373"/>
      <c r="B111" s="435"/>
      <c r="C111" s="435"/>
      <c r="D111" s="439" t="s">
        <v>304</v>
      </c>
      <c r="E111" s="377">
        <v>4.8</v>
      </c>
      <c r="F111" s="377">
        <f t="shared" si="48"/>
        <v>1.776</v>
      </c>
      <c r="G111" s="379">
        <f t="shared" si="49"/>
        <v>0.37</v>
      </c>
      <c r="H111" s="377">
        <f t="shared" si="50"/>
        <v>6.5760000000000005</v>
      </c>
      <c r="I111" s="377">
        <f t="shared" si="51"/>
        <v>7.8912</v>
      </c>
      <c r="J111" s="378">
        <v>7.9</v>
      </c>
      <c r="K111" s="487"/>
      <c r="L111" s="380"/>
      <c r="M111" s="394"/>
      <c r="N111" s="382"/>
      <c r="O111" s="382"/>
      <c r="P111" s="382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  <c r="AB111" s="382"/>
      <c r="AC111" s="382"/>
      <c r="AD111" s="382"/>
      <c r="AE111" s="382"/>
      <c r="AF111" s="382"/>
      <c r="AG111" s="382"/>
      <c r="AH111" s="382"/>
      <c r="AI111" s="382"/>
      <c r="AJ111" s="382"/>
      <c r="AK111" s="382"/>
      <c r="AL111" s="383"/>
      <c r="AM111" s="404"/>
      <c r="AN111" s="384"/>
      <c r="AO111" s="397"/>
      <c r="AP111" s="397"/>
      <c r="AQ111" s="414"/>
      <c r="AR111" s="410"/>
      <c r="AS111" s="415"/>
      <c r="AT111" s="415"/>
      <c r="AU111" s="412"/>
      <c r="AV111" s="412"/>
      <c r="AW111" s="413"/>
      <c r="AX111" s="413"/>
      <c r="AY111" s="390"/>
      <c r="AZ111" s="391"/>
      <c r="BA111" s="355"/>
      <c r="BB111" s="459"/>
      <c r="BC111" s="459"/>
      <c r="BD111" s="86"/>
      <c r="BE111" s="86"/>
      <c r="BF111" s="392"/>
    </row>
    <row r="112" spans="1:58" ht="15.75" customHeight="1">
      <c r="A112" s="373"/>
      <c r="B112" s="435" t="s">
        <v>305</v>
      </c>
      <c r="C112" s="435"/>
      <c r="D112" s="439" t="s">
        <v>306</v>
      </c>
      <c r="E112" s="377">
        <v>7.5</v>
      </c>
      <c r="F112" s="377">
        <f aca="true" t="shared" si="52" ref="F112:F113">E112*0.67</f>
        <v>5.025</v>
      </c>
      <c r="G112" s="379">
        <f t="shared" si="49"/>
        <v>0.67</v>
      </c>
      <c r="H112" s="377">
        <f aca="true" t="shared" si="53" ref="H112:H113">E112*1.67</f>
        <v>12.524999999999999</v>
      </c>
      <c r="I112" s="377">
        <f t="shared" si="51"/>
        <v>15.029999999999998</v>
      </c>
      <c r="J112" s="378">
        <v>15</v>
      </c>
      <c r="K112" s="488">
        <v>0.2</v>
      </c>
      <c r="L112" s="380" t="s">
        <v>180</v>
      </c>
      <c r="M112" s="394"/>
      <c r="N112" s="382"/>
      <c r="O112" s="382"/>
      <c r="P112" s="382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  <c r="AB112" s="382"/>
      <c r="AC112" s="382"/>
      <c r="AD112" s="382"/>
      <c r="AE112" s="382"/>
      <c r="AF112" s="382"/>
      <c r="AG112" s="382"/>
      <c r="AH112" s="382"/>
      <c r="AI112" s="382"/>
      <c r="AJ112" s="382"/>
      <c r="AK112" s="382"/>
      <c r="AL112" s="383"/>
      <c r="AM112" s="404"/>
      <c r="AN112" s="384"/>
      <c r="AO112" s="397"/>
      <c r="AP112" s="397"/>
      <c r="AQ112" s="414"/>
      <c r="AR112" s="410"/>
      <c r="AS112" s="415"/>
      <c r="AT112" s="415"/>
      <c r="AU112" s="412"/>
      <c r="AV112" s="412"/>
      <c r="AW112" s="413"/>
      <c r="AX112" s="413"/>
      <c r="AY112" s="390"/>
      <c r="AZ112" s="391"/>
      <c r="BA112" s="355"/>
      <c r="BB112" s="459"/>
      <c r="BC112" s="459"/>
      <c r="BD112" s="86"/>
      <c r="BE112" s="86"/>
      <c r="BF112" s="392"/>
    </row>
    <row r="113" spans="1:58" ht="15.75" customHeight="1">
      <c r="A113" s="373"/>
      <c r="B113" s="435"/>
      <c r="C113" s="435"/>
      <c r="D113" s="439" t="s">
        <v>307</v>
      </c>
      <c r="E113" s="377">
        <v>7.5</v>
      </c>
      <c r="F113" s="377">
        <f t="shared" si="52"/>
        <v>5.025</v>
      </c>
      <c r="G113" s="379">
        <f t="shared" si="49"/>
        <v>0.67</v>
      </c>
      <c r="H113" s="377">
        <f t="shared" si="53"/>
        <v>12.524999999999999</v>
      </c>
      <c r="I113" s="377">
        <f t="shared" si="51"/>
        <v>15.029999999999998</v>
      </c>
      <c r="J113" s="378">
        <v>15</v>
      </c>
      <c r="K113" s="488"/>
      <c r="L113" s="380" t="s">
        <v>180</v>
      </c>
      <c r="M113" s="394"/>
      <c r="N113" s="382"/>
      <c r="O113" s="382"/>
      <c r="P113" s="382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  <c r="AB113" s="382"/>
      <c r="AC113" s="382"/>
      <c r="AD113" s="382"/>
      <c r="AE113" s="382"/>
      <c r="AF113" s="382"/>
      <c r="AG113" s="382"/>
      <c r="AH113" s="382"/>
      <c r="AI113" s="382"/>
      <c r="AJ113" s="382"/>
      <c r="AK113" s="382"/>
      <c r="AL113" s="383"/>
      <c r="AM113" s="404"/>
      <c r="AN113" s="384"/>
      <c r="AO113" s="397"/>
      <c r="AP113" s="397"/>
      <c r="AQ113" s="414"/>
      <c r="AR113" s="410"/>
      <c r="AS113" s="415"/>
      <c r="AT113" s="415"/>
      <c r="AU113" s="412"/>
      <c r="AV113" s="412"/>
      <c r="AW113" s="413"/>
      <c r="AX113" s="413"/>
      <c r="AY113" s="390"/>
      <c r="AZ113" s="391"/>
      <c r="BA113" s="355"/>
      <c r="BB113" s="459"/>
      <c r="BC113" s="459"/>
      <c r="BD113" s="86"/>
      <c r="BE113" s="86"/>
      <c r="BF113" s="392"/>
    </row>
    <row r="114" spans="1:58" ht="15.75" customHeight="1">
      <c r="A114" s="373"/>
      <c r="B114" s="481" t="s">
        <v>308</v>
      </c>
      <c r="C114" s="435"/>
      <c r="D114" s="439" t="s">
        <v>309</v>
      </c>
      <c r="E114" s="377">
        <v>3.49</v>
      </c>
      <c r="F114" s="377">
        <f>E114*0.55</f>
        <v>1.9195000000000002</v>
      </c>
      <c r="G114" s="379">
        <f t="shared" si="49"/>
        <v>0.55</v>
      </c>
      <c r="H114" s="377">
        <f>E114*1.55</f>
        <v>5.4095</v>
      </c>
      <c r="I114" s="377">
        <f t="shared" si="51"/>
        <v>6.4914000000000005</v>
      </c>
      <c r="J114" s="378">
        <v>6.5</v>
      </c>
      <c r="K114" s="488"/>
      <c r="L114" s="380"/>
      <c r="M114" s="394"/>
      <c r="N114" s="382"/>
      <c r="O114" s="382"/>
      <c r="P114" s="382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  <c r="AB114" s="382"/>
      <c r="AC114" s="382"/>
      <c r="AD114" s="382"/>
      <c r="AE114" s="382"/>
      <c r="AF114" s="382"/>
      <c r="AG114" s="382"/>
      <c r="AH114" s="382"/>
      <c r="AI114" s="382"/>
      <c r="AJ114" s="382"/>
      <c r="AK114" s="382"/>
      <c r="AL114" s="383"/>
      <c r="AM114" s="404"/>
      <c r="AN114" s="384"/>
      <c r="AO114" s="397"/>
      <c r="AP114" s="397"/>
      <c r="AQ114" s="414"/>
      <c r="AR114" s="410"/>
      <c r="AS114" s="415"/>
      <c r="AT114" s="415"/>
      <c r="AU114" s="412"/>
      <c r="AV114" s="412"/>
      <c r="AW114" s="413"/>
      <c r="AX114" s="413"/>
      <c r="AY114" s="390"/>
      <c r="AZ114" s="391"/>
      <c r="BA114" s="355"/>
      <c r="BB114" s="459"/>
      <c r="BC114" s="459"/>
      <c r="BD114" s="86"/>
      <c r="BE114" s="86"/>
      <c r="BF114" s="392"/>
    </row>
    <row r="115" spans="1:58" ht="15.75" customHeight="1">
      <c r="A115" s="373"/>
      <c r="B115" s="435" t="s">
        <v>261</v>
      </c>
      <c r="C115" s="435"/>
      <c r="D115" s="489" t="s">
        <v>310</v>
      </c>
      <c r="E115" s="442">
        <v>0.73</v>
      </c>
      <c r="F115" s="442">
        <f aca="true" t="shared" si="54" ref="F115:F117">E115*3</f>
        <v>2.19</v>
      </c>
      <c r="G115" s="443">
        <f t="shared" si="49"/>
        <v>3</v>
      </c>
      <c r="H115" s="442">
        <f aca="true" t="shared" si="55" ref="H115:H117">E115+F115</f>
        <v>2.92</v>
      </c>
      <c r="I115" s="442">
        <f t="shared" si="51"/>
        <v>3.504</v>
      </c>
      <c r="J115" s="442">
        <v>3.5</v>
      </c>
      <c r="K115" s="488"/>
      <c r="L115" s="380"/>
      <c r="M115" s="394"/>
      <c r="N115" s="382"/>
      <c r="O115" s="382"/>
      <c r="P115" s="382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E115" s="382"/>
      <c r="AF115" s="382"/>
      <c r="AG115" s="382"/>
      <c r="AH115" s="382"/>
      <c r="AI115" s="382"/>
      <c r="AJ115" s="382"/>
      <c r="AK115" s="382"/>
      <c r="AL115" s="383"/>
      <c r="AM115" s="404"/>
      <c r="AN115" s="384"/>
      <c r="AO115" s="397"/>
      <c r="AP115" s="397"/>
      <c r="AQ115" s="414"/>
      <c r="AR115" s="410"/>
      <c r="AS115" s="415"/>
      <c r="AT115" s="415"/>
      <c r="AU115" s="412"/>
      <c r="AV115" s="412"/>
      <c r="AW115" s="413"/>
      <c r="AX115" s="413"/>
      <c r="AY115" s="390"/>
      <c r="AZ115" s="391"/>
      <c r="BA115" s="355"/>
      <c r="BB115" s="459"/>
      <c r="BC115" s="459"/>
      <c r="BD115" s="86"/>
      <c r="BE115" s="86"/>
      <c r="BF115" s="392"/>
    </row>
    <row r="116" spans="1:58" ht="15.75" customHeight="1">
      <c r="A116" s="373"/>
      <c r="B116" s="435"/>
      <c r="C116" s="435"/>
      <c r="D116" s="489" t="s">
        <v>311</v>
      </c>
      <c r="E116" s="442">
        <v>0.73</v>
      </c>
      <c r="F116" s="442">
        <f t="shared" si="54"/>
        <v>2.19</v>
      </c>
      <c r="G116" s="443">
        <f t="shared" si="49"/>
        <v>3</v>
      </c>
      <c r="H116" s="442">
        <f t="shared" si="55"/>
        <v>2.92</v>
      </c>
      <c r="I116" s="442">
        <f t="shared" si="51"/>
        <v>3.504</v>
      </c>
      <c r="J116" s="442">
        <v>3.5</v>
      </c>
      <c r="K116" s="488"/>
      <c r="L116" s="380"/>
      <c r="M116" s="394"/>
      <c r="N116" s="382"/>
      <c r="O116" s="382"/>
      <c r="P116" s="382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  <c r="AB116" s="382"/>
      <c r="AC116" s="382"/>
      <c r="AD116" s="382"/>
      <c r="AE116" s="382"/>
      <c r="AF116" s="382"/>
      <c r="AG116" s="382"/>
      <c r="AH116" s="382"/>
      <c r="AI116" s="382"/>
      <c r="AJ116" s="382"/>
      <c r="AK116" s="382"/>
      <c r="AL116" s="383"/>
      <c r="AM116" s="404"/>
      <c r="AN116" s="384"/>
      <c r="AO116" s="397"/>
      <c r="AP116" s="397"/>
      <c r="AQ116" s="414"/>
      <c r="AR116" s="410"/>
      <c r="AS116" s="415"/>
      <c r="AT116" s="415"/>
      <c r="AU116" s="412"/>
      <c r="AV116" s="412"/>
      <c r="AW116" s="413"/>
      <c r="AX116" s="413"/>
      <c r="AY116" s="390"/>
      <c r="AZ116" s="391"/>
      <c r="BA116" s="355"/>
      <c r="BB116" s="459"/>
      <c r="BC116" s="459"/>
      <c r="BD116" s="86"/>
      <c r="BE116" s="86"/>
      <c r="BF116" s="392"/>
    </row>
    <row r="117" spans="1:58" ht="15.75" customHeight="1">
      <c r="A117" s="373"/>
      <c r="B117" s="435"/>
      <c r="C117" s="435"/>
      <c r="D117" s="489" t="s">
        <v>312</v>
      </c>
      <c r="E117" s="442">
        <v>0.73</v>
      </c>
      <c r="F117" s="442">
        <f t="shared" si="54"/>
        <v>2.19</v>
      </c>
      <c r="G117" s="443">
        <f t="shared" si="49"/>
        <v>3</v>
      </c>
      <c r="H117" s="442">
        <f t="shared" si="55"/>
        <v>2.92</v>
      </c>
      <c r="I117" s="442">
        <f t="shared" si="51"/>
        <v>3.504</v>
      </c>
      <c r="J117" s="442">
        <v>3.5</v>
      </c>
      <c r="K117" s="488"/>
      <c r="L117" s="380"/>
      <c r="M117" s="394"/>
      <c r="N117" s="382"/>
      <c r="O117" s="382"/>
      <c r="P117" s="382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  <c r="AB117" s="382"/>
      <c r="AC117" s="382"/>
      <c r="AD117" s="382"/>
      <c r="AE117" s="382"/>
      <c r="AF117" s="382"/>
      <c r="AG117" s="382"/>
      <c r="AH117" s="382"/>
      <c r="AI117" s="382"/>
      <c r="AJ117" s="382"/>
      <c r="AK117" s="382"/>
      <c r="AL117" s="383"/>
      <c r="AM117" s="404"/>
      <c r="AN117" s="384"/>
      <c r="AO117" s="397"/>
      <c r="AP117" s="397"/>
      <c r="AQ117" s="414"/>
      <c r="AR117" s="410"/>
      <c r="AS117" s="415"/>
      <c r="AT117" s="415"/>
      <c r="AU117" s="412"/>
      <c r="AV117" s="412"/>
      <c r="AW117" s="413"/>
      <c r="AX117" s="413"/>
      <c r="AY117" s="390"/>
      <c r="AZ117" s="391"/>
      <c r="BA117" s="355"/>
      <c r="BB117" s="459"/>
      <c r="BC117" s="459"/>
      <c r="BD117" s="86"/>
      <c r="BE117" s="86"/>
      <c r="BF117" s="392"/>
    </row>
    <row r="118" spans="1:58" ht="15.75" customHeight="1">
      <c r="A118" s="373"/>
      <c r="B118" s="435"/>
      <c r="C118" s="435"/>
      <c r="D118" s="441" t="s">
        <v>313</v>
      </c>
      <c r="E118" s="377">
        <v>1.55</v>
      </c>
      <c r="F118" s="377">
        <f>E118*0.88</f>
        <v>1.364</v>
      </c>
      <c r="G118" s="379">
        <f t="shared" si="49"/>
        <v>0.88</v>
      </c>
      <c r="H118" s="377">
        <f>E118*1.88</f>
        <v>2.9139999999999997</v>
      </c>
      <c r="I118" s="377">
        <f t="shared" si="51"/>
        <v>3.4967999999999995</v>
      </c>
      <c r="J118" s="442">
        <v>3.5</v>
      </c>
      <c r="K118" s="488"/>
      <c r="L118" s="380"/>
      <c r="M118" s="394"/>
      <c r="N118" s="382"/>
      <c r="O118" s="382"/>
      <c r="P118" s="382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  <c r="AB118" s="382"/>
      <c r="AC118" s="382"/>
      <c r="AD118" s="382"/>
      <c r="AE118" s="382"/>
      <c r="AF118" s="382"/>
      <c r="AG118" s="382"/>
      <c r="AH118" s="382"/>
      <c r="AI118" s="382"/>
      <c r="AJ118" s="382"/>
      <c r="AK118" s="382"/>
      <c r="AL118" s="383"/>
      <c r="AM118" s="404"/>
      <c r="AN118" s="384"/>
      <c r="AO118" s="397"/>
      <c r="AP118" s="397"/>
      <c r="AQ118" s="414"/>
      <c r="AR118" s="410"/>
      <c r="AS118" s="415"/>
      <c r="AT118" s="415"/>
      <c r="AU118" s="412"/>
      <c r="AV118" s="412"/>
      <c r="AW118" s="413"/>
      <c r="AX118" s="413"/>
      <c r="AY118" s="390"/>
      <c r="AZ118" s="391"/>
      <c r="BA118" s="355"/>
      <c r="BB118" s="459"/>
      <c r="BC118" s="459"/>
      <c r="BD118" s="86"/>
      <c r="BE118" s="86"/>
      <c r="BF118" s="392"/>
    </row>
    <row r="119" spans="1:58" ht="15.75" customHeight="1">
      <c r="A119" s="373"/>
      <c r="B119" s="435"/>
      <c r="C119" s="435"/>
      <c r="D119" s="441" t="s">
        <v>314</v>
      </c>
      <c r="E119" s="442">
        <v>1.1</v>
      </c>
      <c r="F119" s="442">
        <f>E119*1.6</f>
        <v>1.7600000000000002</v>
      </c>
      <c r="G119" s="443">
        <f t="shared" si="49"/>
        <v>1.6</v>
      </c>
      <c r="H119" s="442">
        <f>E119+F119</f>
        <v>2.8600000000000003</v>
      </c>
      <c r="I119" s="442">
        <f t="shared" si="51"/>
        <v>3.4320000000000004</v>
      </c>
      <c r="J119" s="442">
        <v>3.5</v>
      </c>
      <c r="K119" s="488"/>
      <c r="L119" s="380"/>
      <c r="M119" s="394"/>
      <c r="N119" s="382"/>
      <c r="O119" s="382"/>
      <c r="P119" s="382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  <c r="AB119" s="382"/>
      <c r="AC119" s="382"/>
      <c r="AD119" s="382"/>
      <c r="AE119" s="382"/>
      <c r="AF119" s="382"/>
      <c r="AG119" s="382"/>
      <c r="AH119" s="382"/>
      <c r="AI119" s="382"/>
      <c r="AJ119" s="382"/>
      <c r="AK119" s="382"/>
      <c r="AL119" s="383"/>
      <c r="AM119" s="404"/>
      <c r="AN119" s="384"/>
      <c r="AO119" s="397"/>
      <c r="AP119" s="397"/>
      <c r="AQ119" s="414"/>
      <c r="AR119" s="410"/>
      <c r="AS119" s="415"/>
      <c r="AT119" s="415"/>
      <c r="AU119" s="412"/>
      <c r="AV119" s="412"/>
      <c r="AW119" s="413"/>
      <c r="AX119" s="413"/>
      <c r="AY119" s="390"/>
      <c r="AZ119" s="391"/>
      <c r="BA119" s="355"/>
      <c r="BB119" s="459"/>
      <c r="BC119" s="459"/>
      <c r="BD119" s="86"/>
      <c r="BE119" s="86"/>
      <c r="BF119" s="392"/>
    </row>
    <row r="120" spans="1:58" ht="15.75" customHeight="1">
      <c r="A120" s="373"/>
      <c r="B120" s="435"/>
      <c r="C120" s="435"/>
      <c r="D120" s="451" t="s">
        <v>315</v>
      </c>
      <c r="E120" s="377">
        <v>1.55</v>
      </c>
      <c r="F120" s="377">
        <f>E120*0.87</f>
        <v>1.3485</v>
      </c>
      <c r="G120" s="379">
        <f t="shared" si="49"/>
        <v>0.87</v>
      </c>
      <c r="H120" s="377">
        <f>E120*1.87</f>
        <v>2.8985000000000003</v>
      </c>
      <c r="I120" s="377">
        <f t="shared" si="51"/>
        <v>3.4782</v>
      </c>
      <c r="J120" s="378">
        <v>3.5</v>
      </c>
      <c r="K120" s="488"/>
      <c r="L120" s="380"/>
      <c r="M120" s="394"/>
      <c r="N120" s="382"/>
      <c r="O120" s="382"/>
      <c r="P120" s="382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  <c r="AB120" s="382"/>
      <c r="AC120" s="382"/>
      <c r="AD120" s="382"/>
      <c r="AE120" s="382"/>
      <c r="AF120" s="382"/>
      <c r="AG120" s="382"/>
      <c r="AH120" s="382"/>
      <c r="AI120" s="382"/>
      <c r="AJ120" s="382"/>
      <c r="AK120" s="382"/>
      <c r="AL120" s="383"/>
      <c r="AM120" s="404"/>
      <c r="AN120" s="384"/>
      <c r="AO120" s="397"/>
      <c r="AP120" s="397"/>
      <c r="AQ120" s="414"/>
      <c r="AR120" s="410"/>
      <c r="AS120" s="415"/>
      <c r="AT120" s="415"/>
      <c r="AU120" s="412"/>
      <c r="AV120" s="412"/>
      <c r="AW120" s="413"/>
      <c r="AX120" s="413"/>
      <c r="AY120" s="390"/>
      <c r="AZ120" s="391"/>
      <c r="BA120" s="355"/>
      <c r="BB120" s="459"/>
      <c r="BC120" s="459"/>
      <c r="BD120" s="86"/>
      <c r="BE120" s="86"/>
      <c r="BF120" s="392"/>
    </row>
    <row r="121" spans="1:58" ht="15.75" customHeight="1">
      <c r="A121" s="373"/>
      <c r="B121" s="435"/>
      <c r="C121" s="435"/>
      <c r="D121" s="489" t="s">
        <v>316</v>
      </c>
      <c r="E121" s="442">
        <v>0.73</v>
      </c>
      <c r="F121" s="442">
        <f aca="true" t="shared" si="56" ref="F121:F122">E121*3</f>
        <v>2.19</v>
      </c>
      <c r="G121" s="443">
        <f t="shared" si="49"/>
        <v>3</v>
      </c>
      <c r="H121" s="442">
        <f>E121+F121</f>
        <v>2.92</v>
      </c>
      <c r="I121" s="442">
        <f t="shared" si="51"/>
        <v>3.504</v>
      </c>
      <c r="J121" s="442">
        <v>3.5</v>
      </c>
      <c r="K121" s="488"/>
      <c r="L121" s="380"/>
      <c r="M121" s="394"/>
      <c r="N121" s="382"/>
      <c r="O121" s="382"/>
      <c r="P121" s="382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  <c r="AB121" s="382"/>
      <c r="AC121" s="382"/>
      <c r="AD121" s="382"/>
      <c r="AE121" s="382"/>
      <c r="AF121" s="382"/>
      <c r="AG121" s="382"/>
      <c r="AH121" s="382"/>
      <c r="AI121" s="382"/>
      <c r="AJ121" s="382"/>
      <c r="AK121" s="382"/>
      <c r="AL121" s="383"/>
      <c r="AM121" s="404"/>
      <c r="AN121" s="384"/>
      <c r="AO121" s="397"/>
      <c r="AP121" s="397"/>
      <c r="AQ121" s="414"/>
      <c r="AR121" s="410"/>
      <c r="AS121" s="415"/>
      <c r="AT121" s="415"/>
      <c r="AU121" s="412"/>
      <c r="AV121" s="412"/>
      <c r="AW121" s="413"/>
      <c r="AX121" s="413"/>
      <c r="AY121" s="390"/>
      <c r="AZ121" s="391"/>
      <c r="BA121" s="355"/>
      <c r="BB121" s="459"/>
      <c r="BC121" s="459"/>
      <c r="BD121" s="86"/>
      <c r="BE121" s="86"/>
      <c r="BF121" s="392"/>
    </row>
    <row r="122" spans="1:58" ht="15.75" customHeight="1">
      <c r="A122" s="373"/>
      <c r="B122" s="435"/>
      <c r="C122" s="435"/>
      <c r="D122" s="489" t="s">
        <v>317</v>
      </c>
      <c r="E122" s="442">
        <v>0.73</v>
      </c>
      <c r="F122" s="442">
        <f t="shared" si="56"/>
        <v>2.19</v>
      </c>
      <c r="G122" s="443">
        <f t="shared" si="49"/>
        <v>3</v>
      </c>
      <c r="H122" s="442">
        <f>E122*1.25</f>
        <v>0.9125</v>
      </c>
      <c r="I122" s="442">
        <f t="shared" si="51"/>
        <v>1.095</v>
      </c>
      <c r="J122" s="442">
        <v>3.5</v>
      </c>
      <c r="K122" s="488"/>
      <c r="L122" s="380"/>
      <c r="M122" s="394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  <c r="AB122" s="382"/>
      <c r="AC122" s="382"/>
      <c r="AD122" s="382"/>
      <c r="AE122" s="382"/>
      <c r="AF122" s="382"/>
      <c r="AG122" s="382"/>
      <c r="AH122" s="382"/>
      <c r="AI122" s="382"/>
      <c r="AJ122" s="382"/>
      <c r="AK122" s="382"/>
      <c r="AL122" s="383"/>
      <c r="AM122" s="404"/>
      <c r="AN122" s="384"/>
      <c r="AO122" s="397"/>
      <c r="AP122" s="397"/>
      <c r="AQ122" s="414"/>
      <c r="AR122" s="410"/>
      <c r="AS122" s="415"/>
      <c r="AT122" s="415"/>
      <c r="AU122" s="412"/>
      <c r="AV122" s="412"/>
      <c r="AW122" s="413"/>
      <c r="AX122" s="413"/>
      <c r="AY122" s="390"/>
      <c r="AZ122" s="391"/>
      <c r="BA122" s="355"/>
      <c r="BB122" s="459"/>
      <c r="BC122" s="459"/>
      <c r="BD122" s="86"/>
      <c r="BE122" s="86"/>
      <c r="BF122" s="392"/>
    </row>
    <row r="123" spans="1:58" ht="15.75" customHeight="1">
      <c r="A123" s="373"/>
      <c r="B123" s="481" t="s">
        <v>318</v>
      </c>
      <c r="C123" s="435"/>
      <c r="D123" s="439" t="s">
        <v>221</v>
      </c>
      <c r="E123" s="377">
        <v>3.69</v>
      </c>
      <c r="F123" s="377">
        <f>E123*0.78</f>
        <v>2.8782</v>
      </c>
      <c r="G123" s="379">
        <f t="shared" si="49"/>
        <v>0.78</v>
      </c>
      <c r="H123" s="377">
        <f>E123*1.78</f>
        <v>6.5682</v>
      </c>
      <c r="I123" s="377">
        <f t="shared" si="51"/>
        <v>7.8818399999999995</v>
      </c>
      <c r="J123" s="378">
        <v>7.9</v>
      </c>
      <c r="K123" s="488"/>
      <c r="L123" s="380"/>
      <c r="M123" s="394"/>
      <c r="N123" s="382"/>
      <c r="O123" s="382"/>
      <c r="P123" s="382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  <c r="AB123" s="382"/>
      <c r="AC123" s="382"/>
      <c r="AD123" s="382"/>
      <c r="AE123" s="382"/>
      <c r="AF123" s="382"/>
      <c r="AG123" s="382"/>
      <c r="AH123" s="382"/>
      <c r="AI123" s="382"/>
      <c r="AJ123" s="382"/>
      <c r="AK123" s="382"/>
      <c r="AL123" s="383"/>
      <c r="AM123" s="404"/>
      <c r="AN123" s="384"/>
      <c r="AO123" s="397"/>
      <c r="AP123" s="397"/>
      <c r="AQ123" s="414"/>
      <c r="AR123" s="410"/>
      <c r="AS123" s="415"/>
      <c r="AT123" s="415"/>
      <c r="AU123" s="412"/>
      <c r="AV123" s="412"/>
      <c r="AW123" s="413"/>
      <c r="AX123" s="413"/>
      <c r="AY123" s="390"/>
      <c r="AZ123" s="391"/>
      <c r="BA123" s="355"/>
      <c r="BB123" s="459"/>
      <c r="BC123" s="459"/>
      <c r="BD123" s="86"/>
      <c r="BE123" s="86"/>
      <c r="BF123" s="392"/>
    </row>
    <row r="124" spans="1:58" ht="15.75" customHeight="1">
      <c r="A124" s="373"/>
      <c r="B124" s="435" t="s">
        <v>319</v>
      </c>
      <c r="C124" s="435"/>
      <c r="D124" s="439" t="s">
        <v>320</v>
      </c>
      <c r="E124" s="377">
        <v>6.95</v>
      </c>
      <c r="F124" s="377">
        <f>E124*0.42</f>
        <v>2.919</v>
      </c>
      <c r="G124" s="379">
        <f t="shared" si="49"/>
        <v>0.42</v>
      </c>
      <c r="H124" s="377">
        <f>E124*1.42</f>
        <v>9.869</v>
      </c>
      <c r="I124" s="377">
        <f t="shared" si="51"/>
        <v>11.842799999999999</v>
      </c>
      <c r="J124" s="378">
        <v>11.9</v>
      </c>
      <c r="K124" s="488"/>
      <c r="L124" s="380"/>
      <c r="M124" s="394"/>
      <c r="N124" s="382"/>
      <c r="O124" s="382"/>
      <c r="P124" s="382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  <c r="AB124" s="382"/>
      <c r="AC124" s="382"/>
      <c r="AD124" s="382"/>
      <c r="AE124" s="382"/>
      <c r="AF124" s="382"/>
      <c r="AG124" s="382"/>
      <c r="AH124" s="382"/>
      <c r="AI124" s="382"/>
      <c r="AJ124" s="382"/>
      <c r="AK124" s="382"/>
      <c r="AL124" s="383"/>
      <c r="AM124" s="404"/>
      <c r="AN124" s="384"/>
      <c r="AO124" s="397"/>
      <c r="AP124" s="397"/>
      <c r="AQ124" s="414"/>
      <c r="AR124" s="410"/>
      <c r="AS124" s="415"/>
      <c r="AT124" s="415"/>
      <c r="AU124" s="412"/>
      <c r="AV124" s="412"/>
      <c r="AW124" s="413"/>
      <c r="AX124" s="413"/>
      <c r="AY124" s="390"/>
      <c r="AZ124" s="391"/>
      <c r="BA124" s="355"/>
      <c r="BB124" s="459"/>
      <c r="BC124" s="459"/>
      <c r="BD124" s="86"/>
      <c r="BE124" s="86"/>
      <c r="BF124" s="392"/>
    </row>
    <row r="125" spans="1:58" ht="15.75" customHeight="1">
      <c r="A125" s="373"/>
      <c r="B125" s="435"/>
      <c r="C125" s="435"/>
      <c r="D125" s="439" t="s">
        <v>321</v>
      </c>
      <c r="E125" s="377">
        <v>3.5</v>
      </c>
      <c r="F125" s="377">
        <f>E125*0.55</f>
        <v>1.9250000000000003</v>
      </c>
      <c r="G125" s="379">
        <f t="shared" si="49"/>
        <v>0.55</v>
      </c>
      <c r="H125" s="377">
        <f>E125*1.55</f>
        <v>5.425</v>
      </c>
      <c r="I125" s="377">
        <f t="shared" si="51"/>
        <v>6.51</v>
      </c>
      <c r="J125" s="378">
        <v>6.5</v>
      </c>
      <c r="K125" s="488"/>
      <c r="L125" s="380"/>
      <c r="M125" s="394"/>
      <c r="N125" s="382"/>
      <c r="O125" s="382"/>
      <c r="P125" s="382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  <c r="AB125" s="382"/>
      <c r="AC125" s="382"/>
      <c r="AD125" s="382"/>
      <c r="AE125" s="382"/>
      <c r="AF125" s="382"/>
      <c r="AG125" s="382"/>
      <c r="AH125" s="382"/>
      <c r="AI125" s="382"/>
      <c r="AJ125" s="382"/>
      <c r="AK125" s="382"/>
      <c r="AL125" s="383"/>
      <c r="AM125" s="404"/>
      <c r="AN125" s="384"/>
      <c r="AO125" s="397"/>
      <c r="AP125" s="397"/>
      <c r="AQ125" s="414"/>
      <c r="AR125" s="410"/>
      <c r="AS125" s="415"/>
      <c r="AT125" s="415"/>
      <c r="AU125" s="412"/>
      <c r="AV125" s="412"/>
      <c r="AW125" s="413"/>
      <c r="AX125" s="413"/>
      <c r="AY125" s="390"/>
      <c r="AZ125" s="391"/>
      <c r="BA125" s="355"/>
      <c r="BB125" s="459"/>
      <c r="BC125" s="459"/>
      <c r="BD125" s="86"/>
      <c r="BE125" s="86"/>
      <c r="BF125" s="392"/>
    </row>
    <row r="126" spans="1:58" ht="15.75" customHeight="1">
      <c r="A126" s="373"/>
      <c r="B126" s="435"/>
      <c r="C126" s="435"/>
      <c r="D126" s="439" t="s">
        <v>322</v>
      </c>
      <c r="E126" s="377">
        <v>5.55</v>
      </c>
      <c r="F126" s="377">
        <f aca="true" t="shared" si="57" ref="F126:F128">E126*0.43</f>
        <v>2.3865</v>
      </c>
      <c r="G126" s="379">
        <f t="shared" si="49"/>
        <v>0.43</v>
      </c>
      <c r="H126" s="377">
        <f aca="true" t="shared" si="58" ref="H126:H128">E126*1.43</f>
        <v>7.9365</v>
      </c>
      <c r="I126" s="377">
        <f t="shared" si="51"/>
        <v>9.5238</v>
      </c>
      <c r="J126" s="378">
        <v>9.5</v>
      </c>
      <c r="K126" s="488"/>
      <c r="L126" s="380"/>
      <c r="M126" s="394"/>
      <c r="N126" s="382"/>
      <c r="O126" s="382"/>
      <c r="P126" s="382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  <c r="AB126" s="382"/>
      <c r="AC126" s="382"/>
      <c r="AD126" s="382"/>
      <c r="AE126" s="382"/>
      <c r="AF126" s="382"/>
      <c r="AG126" s="382"/>
      <c r="AH126" s="382"/>
      <c r="AI126" s="382"/>
      <c r="AJ126" s="382"/>
      <c r="AK126" s="382"/>
      <c r="AL126" s="383"/>
      <c r="AM126" s="404"/>
      <c r="AN126" s="384"/>
      <c r="AO126" s="397"/>
      <c r="AP126" s="397"/>
      <c r="AQ126" s="414"/>
      <c r="AR126" s="410"/>
      <c r="AS126" s="415"/>
      <c r="AT126" s="415"/>
      <c r="AU126" s="412"/>
      <c r="AV126" s="412"/>
      <c r="AW126" s="413"/>
      <c r="AX126" s="413"/>
      <c r="AY126" s="390"/>
      <c r="AZ126" s="391"/>
      <c r="BA126" s="355"/>
      <c r="BB126" s="459"/>
      <c r="BC126" s="459"/>
      <c r="BD126" s="86"/>
      <c r="BE126" s="86"/>
      <c r="BF126" s="392"/>
    </row>
    <row r="127" spans="1:58" ht="15.75" customHeight="1">
      <c r="A127" s="373"/>
      <c r="B127" s="435"/>
      <c r="C127" s="435"/>
      <c r="D127" s="439" t="s">
        <v>261</v>
      </c>
      <c r="E127" s="377">
        <v>2.92</v>
      </c>
      <c r="F127" s="377">
        <f t="shared" si="57"/>
        <v>1.2556</v>
      </c>
      <c r="G127" s="379">
        <f t="shared" si="49"/>
        <v>0.43000000000000005</v>
      </c>
      <c r="H127" s="377">
        <f t="shared" si="58"/>
        <v>4.175599999999999</v>
      </c>
      <c r="I127" s="377">
        <f t="shared" si="51"/>
        <v>5.010719999999999</v>
      </c>
      <c r="J127" s="378">
        <v>5</v>
      </c>
      <c r="K127" s="488"/>
      <c r="L127" s="380"/>
      <c r="M127" s="394"/>
      <c r="N127" s="382"/>
      <c r="O127" s="382"/>
      <c r="P127" s="382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  <c r="AB127" s="382"/>
      <c r="AC127" s="382"/>
      <c r="AD127" s="382"/>
      <c r="AE127" s="382"/>
      <c r="AF127" s="382"/>
      <c r="AG127" s="382"/>
      <c r="AH127" s="382"/>
      <c r="AI127" s="382"/>
      <c r="AJ127" s="382"/>
      <c r="AK127" s="382"/>
      <c r="AL127" s="383"/>
      <c r="AM127" s="404"/>
      <c r="AN127" s="384"/>
      <c r="AO127" s="397"/>
      <c r="AP127" s="397"/>
      <c r="AQ127" s="414"/>
      <c r="AR127" s="410"/>
      <c r="AS127" s="415"/>
      <c r="AT127" s="415"/>
      <c r="AU127" s="412"/>
      <c r="AV127" s="412"/>
      <c r="AW127" s="413"/>
      <c r="AX127" s="413"/>
      <c r="AY127" s="390"/>
      <c r="AZ127" s="391"/>
      <c r="BA127" s="355"/>
      <c r="BB127" s="459"/>
      <c r="BC127" s="459"/>
      <c r="BD127" s="86"/>
      <c r="BE127" s="86"/>
      <c r="BF127" s="392"/>
    </row>
    <row r="128" spans="1:58" ht="15.75" customHeight="1">
      <c r="A128" s="373"/>
      <c r="B128" s="435"/>
      <c r="C128" s="435"/>
      <c r="D128" s="439" t="s">
        <v>323</v>
      </c>
      <c r="E128" s="377">
        <v>2.92</v>
      </c>
      <c r="F128" s="377">
        <f t="shared" si="57"/>
        <v>1.2556</v>
      </c>
      <c r="G128" s="379">
        <f t="shared" si="49"/>
        <v>0.43000000000000005</v>
      </c>
      <c r="H128" s="377">
        <f t="shared" si="58"/>
        <v>4.175599999999999</v>
      </c>
      <c r="I128" s="377">
        <f t="shared" si="51"/>
        <v>5.010719999999999</v>
      </c>
      <c r="J128" s="378">
        <v>5</v>
      </c>
      <c r="K128" s="488"/>
      <c r="L128" s="380"/>
      <c r="M128" s="394"/>
      <c r="N128" s="382"/>
      <c r="O128" s="382"/>
      <c r="P128" s="382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382"/>
      <c r="AK128" s="382"/>
      <c r="AL128" s="383"/>
      <c r="AM128" s="404"/>
      <c r="AN128" s="384"/>
      <c r="AO128" s="397"/>
      <c r="AP128" s="397"/>
      <c r="AQ128" s="414"/>
      <c r="AR128" s="410"/>
      <c r="AS128" s="415"/>
      <c r="AT128" s="415"/>
      <c r="AU128" s="412"/>
      <c r="AV128" s="412"/>
      <c r="AW128" s="413"/>
      <c r="AX128" s="413"/>
      <c r="AY128" s="390"/>
      <c r="AZ128" s="391"/>
      <c r="BA128" s="355"/>
      <c r="BB128" s="459"/>
      <c r="BC128" s="459"/>
      <c r="BD128" s="86"/>
      <c r="BE128" s="86"/>
      <c r="BF128" s="392"/>
    </row>
    <row r="129" spans="1:58" ht="15.75" customHeight="1">
      <c r="A129" s="373"/>
      <c r="B129" s="435"/>
      <c r="C129" s="435"/>
      <c r="D129" s="439" t="s">
        <v>324</v>
      </c>
      <c r="E129" s="377">
        <v>8.33</v>
      </c>
      <c r="F129" s="377">
        <f aca="true" t="shared" si="59" ref="F129:F130">E129*0.25</f>
        <v>2.0825</v>
      </c>
      <c r="G129" s="379">
        <f t="shared" si="49"/>
        <v>0.25</v>
      </c>
      <c r="H129" s="377">
        <f aca="true" t="shared" si="60" ref="H129:H130">E129*1.25</f>
        <v>10.4125</v>
      </c>
      <c r="I129" s="377">
        <f t="shared" si="51"/>
        <v>12.495</v>
      </c>
      <c r="J129" s="378">
        <v>12.5</v>
      </c>
      <c r="K129" s="488"/>
      <c r="L129" s="380"/>
      <c r="M129" s="394"/>
      <c r="N129" s="382"/>
      <c r="O129" s="382"/>
      <c r="P129" s="382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  <c r="AB129" s="382"/>
      <c r="AC129" s="382"/>
      <c r="AD129" s="382"/>
      <c r="AE129" s="382"/>
      <c r="AF129" s="382"/>
      <c r="AG129" s="382"/>
      <c r="AH129" s="382"/>
      <c r="AI129" s="382"/>
      <c r="AJ129" s="382"/>
      <c r="AK129" s="382"/>
      <c r="AL129" s="383"/>
      <c r="AM129" s="404"/>
      <c r="AN129" s="384"/>
      <c r="AO129" s="397"/>
      <c r="AP129" s="397"/>
      <c r="AQ129" s="414"/>
      <c r="AR129" s="410"/>
      <c r="AS129" s="415"/>
      <c r="AT129" s="415"/>
      <c r="AU129" s="412"/>
      <c r="AV129" s="412"/>
      <c r="AW129" s="413"/>
      <c r="AX129" s="413"/>
      <c r="AY129" s="390"/>
      <c r="AZ129" s="391"/>
      <c r="BA129" s="355"/>
      <c r="BB129" s="459"/>
      <c r="BC129" s="459"/>
      <c r="BD129" s="86"/>
      <c r="BE129" s="86"/>
      <c r="BF129" s="392"/>
    </row>
    <row r="130" spans="1:58" ht="15.75" customHeight="1">
      <c r="A130" s="373"/>
      <c r="B130" s="435"/>
      <c r="C130" s="435"/>
      <c r="D130" s="439" t="s">
        <v>325</v>
      </c>
      <c r="E130" s="377">
        <v>7.53</v>
      </c>
      <c r="F130" s="377">
        <f t="shared" si="59"/>
        <v>1.8825</v>
      </c>
      <c r="G130" s="379">
        <f t="shared" si="49"/>
        <v>0.25</v>
      </c>
      <c r="H130" s="377">
        <f t="shared" si="60"/>
        <v>9.4125</v>
      </c>
      <c r="I130" s="377">
        <f t="shared" si="51"/>
        <v>11.295</v>
      </c>
      <c r="J130" s="378">
        <v>11.3</v>
      </c>
      <c r="K130" s="488"/>
      <c r="L130" s="380"/>
      <c r="M130" s="394"/>
      <c r="N130" s="382"/>
      <c r="O130" s="382"/>
      <c r="P130" s="382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382"/>
      <c r="AK130" s="382"/>
      <c r="AL130" s="383"/>
      <c r="AM130" s="404"/>
      <c r="AN130" s="384"/>
      <c r="AO130" s="397"/>
      <c r="AP130" s="397"/>
      <c r="AQ130" s="414"/>
      <c r="AR130" s="410"/>
      <c r="AS130" s="415"/>
      <c r="AT130" s="415"/>
      <c r="AU130" s="412"/>
      <c r="AV130" s="412"/>
      <c r="AW130" s="413"/>
      <c r="AX130" s="413"/>
      <c r="AY130" s="390"/>
      <c r="AZ130" s="391"/>
      <c r="BA130" s="355"/>
      <c r="BB130" s="459"/>
      <c r="BC130" s="459"/>
      <c r="BD130" s="86"/>
      <c r="BE130" s="86"/>
      <c r="BF130" s="392"/>
    </row>
    <row r="131" spans="1:58" ht="15.75" customHeight="1">
      <c r="A131" s="373"/>
      <c r="B131" s="435"/>
      <c r="C131" s="435"/>
      <c r="D131" s="439" t="s">
        <v>326</v>
      </c>
      <c r="E131" s="377">
        <v>0.76</v>
      </c>
      <c r="F131" s="377">
        <f aca="true" t="shared" si="61" ref="F131:F134">E131*0.42</f>
        <v>0.3192</v>
      </c>
      <c r="G131" s="379">
        <f t="shared" si="49"/>
        <v>0.42</v>
      </c>
      <c r="H131" s="377">
        <f aca="true" t="shared" si="62" ref="H131:H134">E131*1.42</f>
        <v>1.0792</v>
      </c>
      <c r="I131" s="377">
        <f t="shared" si="51"/>
        <v>1.29504</v>
      </c>
      <c r="J131" s="378">
        <v>1.3</v>
      </c>
      <c r="K131" s="488"/>
      <c r="L131" s="380"/>
      <c r="M131" s="394"/>
      <c r="N131" s="382"/>
      <c r="O131" s="382"/>
      <c r="P131" s="382"/>
      <c r="Q131" s="382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  <c r="AC131" s="382"/>
      <c r="AD131" s="382"/>
      <c r="AE131" s="382"/>
      <c r="AF131" s="382"/>
      <c r="AG131" s="382"/>
      <c r="AH131" s="382"/>
      <c r="AI131" s="382"/>
      <c r="AJ131" s="382"/>
      <c r="AK131" s="382"/>
      <c r="AL131" s="383"/>
      <c r="AM131" s="404"/>
      <c r="AN131" s="384"/>
      <c r="AO131" s="397"/>
      <c r="AP131" s="397"/>
      <c r="AQ131" s="414"/>
      <c r="AR131" s="410"/>
      <c r="AS131" s="415"/>
      <c r="AT131" s="415"/>
      <c r="AU131" s="412"/>
      <c r="AV131" s="412"/>
      <c r="AW131" s="413"/>
      <c r="AX131" s="413"/>
      <c r="AY131" s="390"/>
      <c r="AZ131" s="391"/>
      <c r="BA131" s="355"/>
      <c r="BB131" s="459"/>
      <c r="BC131" s="459"/>
      <c r="BD131" s="86"/>
      <c r="BE131" s="86"/>
      <c r="BF131" s="392"/>
    </row>
    <row r="132" spans="1:58" ht="15.75" customHeight="1">
      <c r="A132" s="373"/>
      <c r="B132" s="435"/>
      <c r="C132" s="435"/>
      <c r="D132" s="439" t="s">
        <v>327</v>
      </c>
      <c r="E132" s="377">
        <v>0.76</v>
      </c>
      <c r="F132" s="377">
        <f t="shared" si="61"/>
        <v>0.3192</v>
      </c>
      <c r="G132" s="379">
        <f t="shared" si="49"/>
        <v>0.42</v>
      </c>
      <c r="H132" s="377">
        <f t="shared" si="62"/>
        <v>1.0792</v>
      </c>
      <c r="I132" s="377">
        <f t="shared" si="51"/>
        <v>1.29504</v>
      </c>
      <c r="J132" s="378">
        <v>1.3</v>
      </c>
      <c r="K132" s="488"/>
      <c r="L132" s="380"/>
      <c r="M132" s="394"/>
      <c r="N132" s="382"/>
      <c r="O132" s="382"/>
      <c r="P132" s="382"/>
      <c r="Q132" s="382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  <c r="AC132" s="382"/>
      <c r="AD132" s="382"/>
      <c r="AE132" s="382"/>
      <c r="AF132" s="382"/>
      <c r="AG132" s="382"/>
      <c r="AH132" s="382"/>
      <c r="AI132" s="382"/>
      <c r="AJ132" s="382"/>
      <c r="AK132" s="382"/>
      <c r="AL132" s="383"/>
      <c r="AM132" s="404"/>
      <c r="AN132" s="384"/>
      <c r="AO132" s="397"/>
      <c r="AP132" s="397"/>
      <c r="AQ132" s="414"/>
      <c r="AR132" s="410"/>
      <c r="AS132" s="415"/>
      <c r="AT132" s="415"/>
      <c r="AU132" s="412"/>
      <c r="AV132" s="412"/>
      <c r="AW132" s="413"/>
      <c r="AX132" s="413"/>
      <c r="AY132" s="390"/>
      <c r="AZ132" s="391"/>
      <c r="BA132" s="355"/>
      <c r="BB132" s="459"/>
      <c r="BC132" s="459"/>
      <c r="BD132" s="86"/>
      <c r="BE132" s="86"/>
      <c r="BF132" s="392"/>
    </row>
    <row r="133" spans="1:58" ht="15.75" customHeight="1">
      <c r="A133" s="373"/>
      <c r="B133" s="435"/>
      <c r="C133" s="435"/>
      <c r="D133" s="439" t="s">
        <v>328</v>
      </c>
      <c r="E133" s="377">
        <v>0.76</v>
      </c>
      <c r="F133" s="377">
        <f t="shared" si="61"/>
        <v>0.3192</v>
      </c>
      <c r="G133" s="379">
        <f t="shared" si="49"/>
        <v>0.42</v>
      </c>
      <c r="H133" s="377">
        <f t="shared" si="62"/>
        <v>1.0792</v>
      </c>
      <c r="I133" s="377">
        <f t="shared" si="51"/>
        <v>1.29504</v>
      </c>
      <c r="J133" s="378">
        <v>1.3</v>
      </c>
      <c r="K133" s="488"/>
      <c r="L133" s="380"/>
      <c r="M133" s="394"/>
      <c r="N133" s="382"/>
      <c r="O133" s="382"/>
      <c r="P133" s="382"/>
      <c r="Q133" s="382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  <c r="AC133" s="382"/>
      <c r="AD133" s="382"/>
      <c r="AE133" s="382"/>
      <c r="AF133" s="382"/>
      <c r="AG133" s="382"/>
      <c r="AH133" s="382"/>
      <c r="AI133" s="382"/>
      <c r="AJ133" s="382"/>
      <c r="AK133" s="382"/>
      <c r="AL133" s="383"/>
      <c r="AM133" s="404"/>
      <c r="AN133" s="384"/>
      <c r="AO133" s="397"/>
      <c r="AP133" s="397"/>
      <c r="AQ133" s="414"/>
      <c r="AR133" s="410"/>
      <c r="AS133" s="415"/>
      <c r="AT133" s="415"/>
      <c r="AU133" s="412"/>
      <c r="AV133" s="412"/>
      <c r="AW133" s="413"/>
      <c r="AX133" s="413"/>
      <c r="AY133" s="390"/>
      <c r="AZ133" s="391"/>
      <c r="BA133" s="355"/>
      <c r="BB133" s="459"/>
      <c r="BC133" s="459"/>
      <c r="BD133" s="86"/>
      <c r="BE133" s="86"/>
      <c r="BF133" s="392"/>
    </row>
    <row r="134" spans="1:58" ht="15.75" customHeight="1">
      <c r="A134" s="373"/>
      <c r="B134" s="435"/>
      <c r="C134" s="435"/>
      <c r="D134" s="439" t="s">
        <v>329</v>
      </c>
      <c r="E134" s="377">
        <v>0.76</v>
      </c>
      <c r="F134" s="377">
        <f t="shared" si="61"/>
        <v>0.3192</v>
      </c>
      <c r="G134" s="379">
        <f t="shared" si="49"/>
        <v>0.42</v>
      </c>
      <c r="H134" s="377">
        <f t="shared" si="62"/>
        <v>1.0792</v>
      </c>
      <c r="I134" s="445">
        <f t="shared" si="51"/>
        <v>1.29504</v>
      </c>
      <c r="J134" s="378">
        <v>1.3</v>
      </c>
      <c r="K134" s="488"/>
      <c r="L134" s="380"/>
      <c r="M134" s="394"/>
      <c r="N134" s="382"/>
      <c r="O134" s="382"/>
      <c r="P134" s="382"/>
      <c r="Q134" s="382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  <c r="AC134" s="382"/>
      <c r="AD134" s="382"/>
      <c r="AE134" s="382"/>
      <c r="AF134" s="382"/>
      <c r="AG134" s="382"/>
      <c r="AH134" s="382"/>
      <c r="AI134" s="382"/>
      <c r="AJ134" s="382"/>
      <c r="AK134" s="382"/>
      <c r="AL134" s="383"/>
      <c r="AM134" s="404"/>
      <c r="AN134" s="384"/>
      <c r="AO134" s="397"/>
      <c r="AP134" s="397"/>
      <c r="AQ134" s="414"/>
      <c r="AR134" s="410"/>
      <c r="AS134" s="415"/>
      <c r="AT134" s="415"/>
      <c r="AU134" s="412"/>
      <c r="AV134" s="412"/>
      <c r="AW134" s="413"/>
      <c r="AX134" s="413"/>
      <c r="AY134" s="390"/>
      <c r="AZ134" s="391"/>
      <c r="BA134" s="355"/>
      <c r="BB134" s="459"/>
      <c r="BC134" s="459"/>
      <c r="BD134" s="86"/>
      <c r="BE134" s="86"/>
      <c r="BF134" s="392"/>
    </row>
    <row r="135" spans="1:58" ht="15.75" customHeight="1">
      <c r="A135" s="373"/>
      <c r="B135" s="481" t="s">
        <v>330</v>
      </c>
      <c r="C135" s="435"/>
      <c r="D135" s="490" t="s">
        <v>331</v>
      </c>
      <c r="E135" s="491">
        <v>3.9</v>
      </c>
      <c r="F135" s="491">
        <f>E135*1.1</f>
        <v>4.29</v>
      </c>
      <c r="G135" s="443">
        <f t="shared" si="49"/>
        <v>1.1</v>
      </c>
      <c r="H135" s="491">
        <f>F135+E135</f>
        <v>8.19</v>
      </c>
      <c r="I135" s="492">
        <f t="shared" si="51"/>
        <v>9.828</v>
      </c>
      <c r="J135" s="491">
        <v>10</v>
      </c>
      <c r="K135" s="488"/>
      <c r="L135" s="380"/>
      <c r="M135" s="394"/>
      <c r="N135" s="382"/>
      <c r="O135" s="382"/>
      <c r="P135" s="382"/>
      <c r="Q135" s="382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  <c r="AC135" s="382"/>
      <c r="AD135" s="382"/>
      <c r="AE135" s="382"/>
      <c r="AF135" s="382"/>
      <c r="AG135" s="382"/>
      <c r="AH135" s="382"/>
      <c r="AI135" s="382"/>
      <c r="AJ135" s="382"/>
      <c r="AK135" s="382"/>
      <c r="AL135" s="383"/>
      <c r="AM135" s="404"/>
      <c r="AN135" s="384"/>
      <c r="AO135" s="397"/>
      <c r="AP135" s="397"/>
      <c r="AQ135" s="414"/>
      <c r="AR135" s="410"/>
      <c r="AS135" s="415"/>
      <c r="AT135" s="415"/>
      <c r="AU135" s="412"/>
      <c r="AV135" s="412"/>
      <c r="AW135" s="413"/>
      <c r="AX135" s="413"/>
      <c r="AY135" s="390"/>
      <c r="AZ135" s="391"/>
      <c r="BA135" s="355"/>
      <c r="BB135" s="459"/>
      <c r="BC135" s="459"/>
      <c r="BD135" s="86"/>
      <c r="BE135" s="86"/>
      <c r="BF135" s="392"/>
    </row>
    <row r="136" spans="1:59" ht="15.75" customHeight="1">
      <c r="A136" s="373"/>
      <c r="B136" s="374" t="s">
        <v>332</v>
      </c>
      <c r="C136" s="374"/>
      <c r="D136" s="375" t="s">
        <v>333</v>
      </c>
      <c r="E136" s="377">
        <v>3.31</v>
      </c>
      <c r="F136" s="377">
        <f>E136*0.26</f>
        <v>0.8606</v>
      </c>
      <c r="G136" s="379">
        <f t="shared" si="49"/>
        <v>0.26</v>
      </c>
      <c r="H136" s="377">
        <f>E136*1.26</f>
        <v>4.1706</v>
      </c>
      <c r="I136" s="445">
        <f t="shared" si="51"/>
        <v>5.00472</v>
      </c>
      <c r="J136" s="378">
        <v>5</v>
      </c>
      <c r="K136" s="379">
        <v>0.2</v>
      </c>
      <c r="L136" s="380"/>
      <c r="M136" s="394"/>
      <c r="N136" s="382"/>
      <c r="O136" s="382"/>
      <c r="P136" s="382"/>
      <c r="Q136" s="382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  <c r="AC136" s="382"/>
      <c r="AD136" s="382"/>
      <c r="AE136" s="382"/>
      <c r="AF136" s="382"/>
      <c r="AG136" s="382"/>
      <c r="AH136" s="382"/>
      <c r="AI136" s="382"/>
      <c r="AJ136" s="382"/>
      <c r="AK136" s="382"/>
      <c r="AL136" s="383"/>
      <c r="AM136" s="384"/>
      <c r="AN136" s="384"/>
      <c r="AO136" s="397"/>
      <c r="AP136" s="397"/>
      <c r="AQ136" s="414"/>
      <c r="AR136" s="414"/>
      <c r="AS136" s="415"/>
      <c r="AT136" s="415"/>
      <c r="AU136" s="412"/>
      <c r="AV136" s="412"/>
      <c r="AW136" s="413"/>
      <c r="AX136" s="413"/>
      <c r="AY136" s="390"/>
      <c r="AZ136" s="391"/>
      <c r="BA136" s="355"/>
      <c r="BB136" s="375" t="s">
        <v>333</v>
      </c>
      <c r="BC136" s="375"/>
      <c r="BD136" s="86">
        <f aca="true" t="shared" si="63" ref="BD136:BD142">M136+O136+Q136+S136+U136+W136+Y136+AA136+AC136+AE136+AG136+AI136+AK136</f>
        <v>0</v>
      </c>
      <c r="BE136" s="86">
        <f aca="true" t="shared" si="64" ref="BE136:BE142">AY136</f>
        <v>0</v>
      </c>
      <c r="BF136" s="392">
        <f aca="true" t="shared" si="65" ref="BF136:BF142">(BC136+BD136)-AY136</f>
        <v>0</v>
      </c>
      <c r="BG136">
        <f aca="true" t="shared" si="66" ref="BG136:BG139">IF(BF136&gt;=6,"Ok","Commande")</f>
        <v>0</v>
      </c>
    </row>
    <row r="137" spans="1:59" ht="15.75" customHeight="1">
      <c r="A137" s="373"/>
      <c r="B137" s="374"/>
      <c r="C137" s="435"/>
      <c r="D137" s="375" t="s">
        <v>334</v>
      </c>
      <c r="E137" s="377">
        <v>9.95</v>
      </c>
      <c r="F137" s="377">
        <f>E137*0.25</f>
        <v>2.4875</v>
      </c>
      <c r="G137" s="379">
        <f t="shared" si="49"/>
        <v>0.25</v>
      </c>
      <c r="H137" s="377">
        <f>E137*1.25</f>
        <v>12.4375</v>
      </c>
      <c r="I137" s="445">
        <f t="shared" si="51"/>
        <v>14.924999999999999</v>
      </c>
      <c r="J137" s="378">
        <v>15</v>
      </c>
      <c r="K137" s="379"/>
      <c r="L137" s="380"/>
      <c r="M137" s="394"/>
      <c r="N137" s="382"/>
      <c r="O137" s="382"/>
      <c r="P137" s="382"/>
      <c r="Q137" s="382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  <c r="AC137" s="382"/>
      <c r="AD137" s="382"/>
      <c r="AE137" s="382"/>
      <c r="AF137" s="382"/>
      <c r="AG137" s="382"/>
      <c r="AH137" s="382"/>
      <c r="AI137" s="382"/>
      <c r="AJ137" s="382"/>
      <c r="AK137" s="382"/>
      <c r="AL137" s="383"/>
      <c r="AM137" s="384"/>
      <c r="AN137" s="384"/>
      <c r="AO137" s="397"/>
      <c r="AP137" s="397"/>
      <c r="AQ137" s="398"/>
      <c r="AR137" s="398"/>
      <c r="AS137" s="399"/>
      <c r="AT137" s="399"/>
      <c r="AU137" s="400"/>
      <c r="AV137" s="400"/>
      <c r="AW137" s="401"/>
      <c r="AX137" s="401"/>
      <c r="AY137" s="390"/>
      <c r="AZ137" s="391"/>
      <c r="BA137" s="355"/>
      <c r="BB137" s="375" t="s">
        <v>334</v>
      </c>
      <c r="BC137" s="375"/>
      <c r="BD137" s="86">
        <f t="shared" si="63"/>
        <v>0</v>
      </c>
      <c r="BE137" s="86">
        <f t="shared" si="64"/>
        <v>0</v>
      </c>
      <c r="BF137" s="392">
        <f t="shared" si="65"/>
        <v>0</v>
      </c>
      <c r="BG137">
        <f t="shared" si="66"/>
        <v>0</v>
      </c>
    </row>
    <row r="138" spans="1:59" ht="15.75" customHeight="1">
      <c r="A138" s="373"/>
      <c r="B138" s="374"/>
      <c r="C138" s="435"/>
      <c r="D138" s="375" t="s">
        <v>335</v>
      </c>
      <c r="E138" s="377">
        <v>14.1</v>
      </c>
      <c r="F138" s="377">
        <f aca="true" t="shared" si="67" ref="F138:F139">E138*0.24</f>
        <v>3.384</v>
      </c>
      <c r="G138" s="379">
        <f t="shared" si="49"/>
        <v>0.24</v>
      </c>
      <c r="H138" s="377">
        <f aca="true" t="shared" si="68" ref="H138:H139">E138*1.24</f>
        <v>17.483999999999998</v>
      </c>
      <c r="I138" s="445">
        <f t="shared" si="51"/>
        <v>20.9808</v>
      </c>
      <c r="J138" s="378">
        <v>21</v>
      </c>
      <c r="K138" s="379"/>
      <c r="L138" s="380"/>
      <c r="M138" s="394"/>
      <c r="N138" s="382"/>
      <c r="O138" s="382"/>
      <c r="P138" s="382"/>
      <c r="Q138" s="382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  <c r="AC138" s="382"/>
      <c r="AD138" s="382"/>
      <c r="AE138" s="382"/>
      <c r="AF138" s="382"/>
      <c r="AG138" s="382"/>
      <c r="AH138" s="382"/>
      <c r="AI138" s="382"/>
      <c r="AJ138" s="382"/>
      <c r="AK138" s="382"/>
      <c r="AL138" s="383"/>
      <c r="AM138" s="384"/>
      <c r="AN138" s="384"/>
      <c r="AO138" s="397"/>
      <c r="AP138" s="397"/>
      <c r="AQ138" s="398"/>
      <c r="AR138" s="398"/>
      <c r="AS138" s="399"/>
      <c r="AT138" s="399"/>
      <c r="AU138" s="400"/>
      <c r="AV138" s="400"/>
      <c r="AW138" s="401"/>
      <c r="AX138" s="401"/>
      <c r="AY138" s="390"/>
      <c r="AZ138" s="391"/>
      <c r="BA138" s="355"/>
      <c r="BB138" s="375" t="s">
        <v>335</v>
      </c>
      <c r="BC138" s="375"/>
      <c r="BD138" s="86">
        <f t="shared" si="63"/>
        <v>0</v>
      </c>
      <c r="BE138" s="86">
        <f t="shared" si="64"/>
        <v>0</v>
      </c>
      <c r="BF138" s="392">
        <f t="shared" si="65"/>
        <v>0</v>
      </c>
      <c r="BG138">
        <f t="shared" si="66"/>
        <v>0</v>
      </c>
    </row>
    <row r="139" spans="1:59" ht="15.75" customHeight="1">
      <c r="A139" s="373"/>
      <c r="B139" s="374"/>
      <c r="C139" s="435"/>
      <c r="D139" s="375" t="s">
        <v>336</v>
      </c>
      <c r="E139" s="377">
        <v>14.1</v>
      </c>
      <c r="F139" s="377">
        <f t="shared" si="67"/>
        <v>3.384</v>
      </c>
      <c r="G139" s="379">
        <f t="shared" si="49"/>
        <v>0.24</v>
      </c>
      <c r="H139" s="377">
        <f t="shared" si="68"/>
        <v>17.483999999999998</v>
      </c>
      <c r="I139" s="445">
        <f t="shared" si="51"/>
        <v>20.9808</v>
      </c>
      <c r="J139" s="378">
        <v>21</v>
      </c>
      <c r="K139" s="379"/>
      <c r="L139" s="380"/>
      <c r="M139" s="394"/>
      <c r="N139" s="382"/>
      <c r="O139" s="382"/>
      <c r="P139" s="382"/>
      <c r="Q139" s="382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  <c r="AC139" s="382"/>
      <c r="AD139" s="382"/>
      <c r="AE139" s="382"/>
      <c r="AF139" s="382"/>
      <c r="AG139" s="382"/>
      <c r="AH139" s="382"/>
      <c r="AI139" s="382"/>
      <c r="AJ139" s="382"/>
      <c r="AK139" s="382"/>
      <c r="AL139" s="383"/>
      <c r="AM139" s="384"/>
      <c r="AN139" s="384"/>
      <c r="AO139" s="397"/>
      <c r="AP139" s="397"/>
      <c r="AQ139" s="398"/>
      <c r="AR139" s="398"/>
      <c r="AS139" s="399"/>
      <c r="AT139" s="399"/>
      <c r="AU139" s="400"/>
      <c r="AV139" s="400"/>
      <c r="AW139" s="401"/>
      <c r="AX139" s="401"/>
      <c r="AY139" s="390"/>
      <c r="AZ139" s="391"/>
      <c r="BA139" s="355"/>
      <c r="BB139" s="375" t="s">
        <v>336</v>
      </c>
      <c r="BC139" s="375"/>
      <c r="BD139" s="86">
        <f t="shared" si="63"/>
        <v>0</v>
      </c>
      <c r="BE139" s="86">
        <f t="shared" si="64"/>
        <v>0</v>
      </c>
      <c r="BF139" s="392">
        <f t="shared" si="65"/>
        <v>0</v>
      </c>
      <c r="BG139">
        <f t="shared" si="66"/>
        <v>0</v>
      </c>
    </row>
    <row r="140" spans="1:58" ht="26.25" customHeight="1">
      <c r="A140" s="373"/>
      <c r="B140" s="374"/>
      <c r="C140" s="435" t="s">
        <v>337</v>
      </c>
      <c r="D140" s="375" t="s">
        <v>338</v>
      </c>
      <c r="E140" s="377">
        <v>3</v>
      </c>
      <c r="F140" s="377">
        <f>E140*0.25</f>
        <v>0.75</v>
      </c>
      <c r="G140" s="379">
        <f t="shared" si="49"/>
        <v>0.25</v>
      </c>
      <c r="H140" s="377">
        <f>E140*1.25</f>
        <v>3.75</v>
      </c>
      <c r="I140" s="445">
        <f t="shared" si="51"/>
        <v>4.5</v>
      </c>
      <c r="J140" s="378">
        <v>4.5</v>
      </c>
      <c r="K140" s="379"/>
      <c r="L140" s="380"/>
      <c r="M140" s="394"/>
      <c r="N140" s="382"/>
      <c r="O140" s="382"/>
      <c r="P140" s="382"/>
      <c r="Q140" s="382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  <c r="AC140" s="382"/>
      <c r="AD140" s="382"/>
      <c r="AE140" s="382"/>
      <c r="AF140" s="382"/>
      <c r="AG140" s="382"/>
      <c r="AH140" s="382"/>
      <c r="AI140" s="382"/>
      <c r="AJ140" s="382"/>
      <c r="AK140" s="382"/>
      <c r="AL140" s="383"/>
      <c r="AM140" s="384"/>
      <c r="AN140" s="384"/>
      <c r="AO140" s="405"/>
      <c r="AP140" s="405"/>
      <c r="AQ140" s="410"/>
      <c r="AR140" s="410"/>
      <c r="AS140" s="399"/>
      <c r="AT140" s="399"/>
      <c r="AU140" s="400"/>
      <c r="AV140" s="400"/>
      <c r="AW140" s="401"/>
      <c r="AX140" s="401"/>
      <c r="AY140" s="390"/>
      <c r="AZ140" s="391"/>
      <c r="BA140" s="355"/>
      <c r="BB140" s="375" t="s">
        <v>338</v>
      </c>
      <c r="BC140" s="375"/>
      <c r="BD140" s="86">
        <f t="shared" si="63"/>
        <v>0</v>
      </c>
      <c r="BE140" s="86">
        <f t="shared" si="64"/>
        <v>0</v>
      </c>
      <c r="BF140" s="392">
        <f t="shared" si="65"/>
        <v>0</v>
      </c>
    </row>
    <row r="141" spans="1:59" ht="15.75" customHeight="1">
      <c r="A141" s="373"/>
      <c r="B141" s="374"/>
      <c r="C141" s="435" t="s">
        <v>339</v>
      </c>
      <c r="D141" s="375" t="s">
        <v>261</v>
      </c>
      <c r="E141" s="377">
        <v>2.1</v>
      </c>
      <c r="F141" s="377">
        <f>E141*0.39</f>
        <v>0.8190000000000001</v>
      </c>
      <c r="G141" s="379">
        <f t="shared" si="49"/>
        <v>0.39</v>
      </c>
      <c r="H141" s="377">
        <f>E141*1.39</f>
        <v>2.919</v>
      </c>
      <c r="I141" s="445">
        <f t="shared" si="51"/>
        <v>3.5028</v>
      </c>
      <c r="J141" s="378">
        <v>3.5</v>
      </c>
      <c r="K141" s="379"/>
      <c r="L141" s="380"/>
      <c r="M141" s="394"/>
      <c r="N141" s="382"/>
      <c r="O141" s="382"/>
      <c r="P141" s="382"/>
      <c r="Q141" s="382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  <c r="AC141" s="382"/>
      <c r="AD141" s="382"/>
      <c r="AE141" s="382"/>
      <c r="AF141" s="382"/>
      <c r="AG141" s="382"/>
      <c r="AH141" s="382"/>
      <c r="AI141" s="382"/>
      <c r="AJ141" s="382"/>
      <c r="AK141" s="382"/>
      <c r="AL141" s="383"/>
      <c r="AM141" s="384"/>
      <c r="AN141" s="384"/>
      <c r="AO141" s="405"/>
      <c r="AP141" s="405"/>
      <c r="AQ141" s="410"/>
      <c r="AR141" s="410"/>
      <c r="AS141" s="399"/>
      <c r="AT141" s="399"/>
      <c r="AU141" s="400"/>
      <c r="AV141" s="400"/>
      <c r="AW141" s="401"/>
      <c r="AX141" s="401"/>
      <c r="AY141" s="390"/>
      <c r="AZ141" s="391"/>
      <c r="BA141" s="355"/>
      <c r="BB141" s="375" t="s">
        <v>261</v>
      </c>
      <c r="BC141" s="375"/>
      <c r="BD141" s="86">
        <f t="shared" si="63"/>
        <v>0</v>
      </c>
      <c r="BE141" s="86">
        <f t="shared" si="64"/>
        <v>0</v>
      </c>
      <c r="BF141" s="392">
        <f t="shared" si="65"/>
        <v>0</v>
      </c>
      <c r="BG141">
        <f aca="true" t="shared" si="69" ref="BG141:BG142">IF(BF141&gt;=6,"Ok","Commande")</f>
        <v>0</v>
      </c>
    </row>
    <row r="142" spans="1:59" ht="15.75" customHeight="1">
      <c r="A142" s="373"/>
      <c r="B142" s="374"/>
      <c r="C142" s="435"/>
      <c r="D142" s="375" t="s">
        <v>340</v>
      </c>
      <c r="E142" s="377">
        <v>8.33</v>
      </c>
      <c r="F142" s="377">
        <f aca="true" t="shared" si="70" ref="F142:F143">E142*0.25</f>
        <v>2.0825</v>
      </c>
      <c r="G142" s="379">
        <f t="shared" si="49"/>
        <v>0.25</v>
      </c>
      <c r="H142" s="377">
        <f aca="true" t="shared" si="71" ref="H142:H143">E142*1.25</f>
        <v>10.4125</v>
      </c>
      <c r="I142" s="445">
        <f t="shared" si="51"/>
        <v>12.495</v>
      </c>
      <c r="J142" s="378">
        <v>12.5</v>
      </c>
      <c r="K142" s="379"/>
      <c r="L142" s="380"/>
      <c r="M142" s="394"/>
      <c r="N142" s="382"/>
      <c r="O142" s="382"/>
      <c r="P142" s="382"/>
      <c r="Q142" s="382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  <c r="AC142" s="382"/>
      <c r="AD142" s="382"/>
      <c r="AE142" s="382"/>
      <c r="AF142" s="382"/>
      <c r="AG142" s="382"/>
      <c r="AH142" s="382"/>
      <c r="AI142" s="382"/>
      <c r="AJ142" s="382"/>
      <c r="AK142" s="382"/>
      <c r="AL142" s="383"/>
      <c r="AM142" s="384"/>
      <c r="AN142" s="384"/>
      <c r="AO142" s="397"/>
      <c r="AP142" s="397"/>
      <c r="AQ142" s="414"/>
      <c r="AR142" s="410"/>
      <c r="AS142" s="399"/>
      <c r="AT142" s="399"/>
      <c r="AU142" s="400"/>
      <c r="AV142" s="400"/>
      <c r="AW142" s="401"/>
      <c r="AX142" s="401"/>
      <c r="AY142" s="390"/>
      <c r="AZ142" s="391"/>
      <c r="BA142" s="355"/>
      <c r="BB142" s="375" t="s">
        <v>340</v>
      </c>
      <c r="BC142" s="375"/>
      <c r="BD142" s="86">
        <f t="shared" si="63"/>
        <v>0</v>
      </c>
      <c r="BE142" s="86">
        <f t="shared" si="64"/>
        <v>0</v>
      </c>
      <c r="BF142" s="392">
        <f t="shared" si="65"/>
        <v>0</v>
      </c>
      <c r="BG142">
        <f t="shared" si="69"/>
        <v>0</v>
      </c>
    </row>
    <row r="143" spans="1:58" ht="15.75" customHeight="1">
      <c r="A143" s="373"/>
      <c r="B143" s="374"/>
      <c r="C143" s="435"/>
      <c r="D143" s="375" t="s">
        <v>341</v>
      </c>
      <c r="E143" s="377">
        <v>5</v>
      </c>
      <c r="F143" s="377">
        <f t="shared" si="70"/>
        <v>1.25</v>
      </c>
      <c r="G143" s="379">
        <f t="shared" si="49"/>
        <v>0.25</v>
      </c>
      <c r="H143" s="377">
        <f t="shared" si="71"/>
        <v>6.25</v>
      </c>
      <c r="I143" s="445">
        <f t="shared" si="51"/>
        <v>7.5</v>
      </c>
      <c r="J143" s="378">
        <v>7.5</v>
      </c>
      <c r="K143" s="379"/>
      <c r="L143" s="380"/>
      <c r="M143" s="394"/>
      <c r="N143" s="382"/>
      <c r="O143" s="382"/>
      <c r="P143" s="382"/>
      <c r="Q143" s="382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  <c r="AC143" s="382"/>
      <c r="AD143" s="382"/>
      <c r="AE143" s="382"/>
      <c r="AF143" s="382"/>
      <c r="AG143" s="382"/>
      <c r="AH143" s="382"/>
      <c r="AI143" s="382"/>
      <c r="AJ143" s="382"/>
      <c r="AK143" s="382"/>
      <c r="AL143" s="383"/>
      <c r="AM143" s="384"/>
      <c r="AN143" s="384"/>
      <c r="AO143" s="397"/>
      <c r="AP143" s="397"/>
      <c r="AQ143" s="414"/>
      <c r="AR143" s="414"/>
      <c r="AS143" s="399"/>
      <c r="AT143" s="399"/>
      <c r="AU143" s="400"/>
      <c r="AV143" s="400"/>
      <c r="AW143" s="401"/>
      <c r="AX143" s="401"/>
      <c r="AY143" s="390"/>
      <c r="AZ143" s="391"/>
      <c r="BA143" s="355"/>
      <c r="BB143" s="375" t="s">
        <v>341</v>
      </c>
      <c r="BC143" s="375"/>
      <c r="BD143" s="86"/>
      <c r="BE143" s="86"/>
      <c r="BF143" s="392"/>
    </row>
    <row r="144" spans="1:59" ht="15.75" customHeight="1">
      <c r="A144" s="373"/>
      <c r="B144" s="374"/>
      <c r="C144" s="435"/>
      <c r="D144" s="375" t="s">
        <v>342</v>
      </c>
      <c r="E144" s="377">
        <v>5.85</v>
      </c>
      <c r="F144" s="377">
        <f>E144*0.42</f>
        <v>2.457</v>
      </c>
      <c r="G144" s="379">
        <f t="shared" si="49"/>
        <v>0.42</v>
      </c>
      <c r="H144" s="377">
        <f>E144*1.42</f>
        <v>8.306999999999999</v>
      </c>
      <c r="I144" s="377">
        <f t="shared" si="51"/>
        <v>9.968399999999997</v>
      </c>
      <c r="J144" s="378">
        <v>10</v>
      </c>
      <c r="K144" s="379"/>
      <c r="L144" s="380"/>
      <c r="M144" s="394"/>
      <c r="N144" s="382"/>
      <c r="O144" s="382"/>
      <c r="P144" s="382"/>
      <c r="Q144" s="382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  <c r="AC144" s="382"/>
      <c r="AD144" s="382"/>
      <c r="AE144" s="382"/>
      <c r="AF144" s="382"/>
      <c r="AG144" s="382"/>
      <c r="AH144" s="382"/>
      <c r="AI144" s="382"/>
      <c r="AJ144" s="382"/>
      <c r="AK144" s="382"/>
      <c r="AL144" s="383"/>
      <c r="AM144" s="384"/>
      <c r="AN144" s="384"/>
      <c r="AO144" s="405"/>
      <c r="AP144" s="405"/>
      <c r="AQ144" s="410"/>
      <c r="AR144" s="410"/>
      <c r="AS144" s="399"/>
      <c r="AT144" s="399"/>
      <c r="AU144" s="400"/>
      <c r="AV144" s="400"/>
      <c r="AW144" s="401"/>
      <c r="AX144" s="401"/>
      <c r="AY144" s="390"/>
      <c r="AZ144" s="391"/>
      <c r="BA144" s="355"/>
      <c r="BB144" s="375" t="s">
        <v>342</v>
      </c>
      <c r="BC144" s="375"/>
      <c r="BD144" s="86">
        <f aca="true" t="shared" si="72" ref="BD144:BD155">M144+O144+Q144+S144+U144+W144+Y144+AA144+AC144+AE144+AG144+AI144+AK144</f>
        <v>0</v>
      </c>
      <c r="BE144" s="86">
        <f aca="true" t="shared" si="73" ref="BE144:BE155">AY144</f>
        <v>0</v>
      </c>
      <c r="BF144" s="392">
        <f aca="true" t="shared" si="74" ref="BF144:BF155">(BC144+BD144)-AY144</f>
        <v>0</v>
      </c>
      <c r="BG144">
        <f aca="true" t="shared" si="75" ref="BG144:BG155">IF(BF144&gt;=6,"Ok","Commande")</f>
        <v>0</v>
      </c>
    </row>
    <row r="145" spans="1:59" ht="15.75" customHeight="1">
      <c r="A145" s="373"/>
      <c r="B145" s="374"/>
      <c r="C145" s="435"/>
      <c r="D145" s="375" t="s">
        <v>343</v>
      </c>
      <c r="E145" s="377">
        <v>14.1</v>
      </c>
      <c r="F145" s="377">
        <f>E145*0.24</f>
        <v>3.384</v>
      </c>
      <c r="G145" s="379">
        <f t="shared" si="49"/>
        <v>0.24</v>
      </c>
      <c r="H145" s="377">
        <f>E145*1.24</f>
        <v>17.483999999999998</v>
      </c>
      <c r="I145" s="377">
        <f t="shared" si="51"/>
        <v>20.9808</v>
      </c>
      <c r="J145" s="378">
        <v>21</v>
      </c>
      <c r="K145" s="379"/>
      <c r="L145" s="380"/>
      <c r="M145" s="394"/>
      <c r="N145" s="382"/>
      <c r="O145" s="382"/>
      <c r="P145" s="382"/>
      <c r="Q145" s="382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  <c r="AC145" s="382"/>
      <c r="AD145" s="382"/>
      <c r="AE145" s="382"/>
      <c r="AF145" s="382"/>
      <c r="AG145" s="382"/>
      <c r="AH145" s="382"/>
      <c r="AI145" s="382"/>
      <c r="AJ145" s="382"/>
      <c r="AK145" s="382"/>
      <c r="AL145" s="383"/>
      <c r="AM145" s="384"/>
      <c r="AN145" s="384"/>
      <c r="AO145" s="405"/>
      <c r="AP145" s="405"/>
      <c r="AQ145" s="410"/>
      <c r="AR145" s="410"/>
      <c r="AS145" s="399"/>
      <c r="AT145" s="399"/>
      <c r="AU145" s="412"/>
      <c r="AV145" s="412"/>
      <c r="AW145" s="413"/>
      <c r="AX145" s="413"/>
      <c r="AY145" s="390"/>
      <c r="AZ145" s="391"/>
      <c r="BA145" s="355"/>
      <c r="BB145" s="375" t="s">
        <v>343</v>
      </c>
      <c r="BC145" s="375"/>
      <c r="BD145" s="86">
        <f t="shared" si="72"/>
        <v>0</v>
      </c>
      <c r="BE145" s="86">
        <f t="shared" si="73"/>
        <v>0</v>
      </c>
      <c r="BF145" s="392">
        <f t="shared" si="74"/>
        <v>0</v>
      </c>
      <c r="BG145">
        <f t="shared" si="75"/>
        <v>0</v>
      </c>
    </row>
    <row r="146" spans="1:59" ht="15" customHeight="1">
      <c r="A146" s="373"/>
      <c r="B146" s="406" t="s">
        <v>344</v>
      </c>
      <c r="C146" s="406"/>
      <c r="D146" s="375" t="s">
        <v>345</v>
      </c>
      <c r="E146" s="377">
        <v>6.5</v>
      </c>
      <c r="F146" s="377">
        <f>E146*0.28</f>
        <v>1.8200000000000003</v>
      </c>
      <c r="G146" s="379">
        <f t="shared" si="49"/>
        <v>0.28</v>
      </c>
      <c r="H146" s="377">
        <f>E146*1.28</f>
        <v>8.32</v>
      </c>
      <c r="I146" s="377">
        <f t="shared" si="51"/>
        <v>9.984</v>
      </c>
      <c r="J146" s="378">
        <v>10</v>
      </c>
      <c r="K146" s="379"/>
      <c r="L146" s="380"/>
      <c r="M146" s="394"/>
      <c r="N146" s="382"/>
      <c r="O146" s="382"/>
      <c r="P146" s="382"/>
      <c r="Q146" s="382"/>
      <c r="R146" s="382"/>
      <c r="S146" s="382"/>
      <c r="T146" s="382"/>
      <c r="U146" s="382"/>
      <c r="V146" s="382"/>
      <c r="W146" s="382"/>
      <c r="X146" s="382"/>
      <c r="Y146" s="382"/>
      <c r="Z146" s="382"/>
      <c r="AA146" s="382"/>
      <c r="AB146" s="382"/>
      <c r="AC146" s="382"/>
      <c r="AD146" s="382"/>
      <c r="AE146" s="382"/>
      <c r="AF146" s="382"/>
      <c r="AG146" s="382"/>
      <c r="AH146" s="382"/>
      <c r="AI146" s="382"/>
      <c r="AJ146" s="382"/>
      <c r="AK146" s="382"/>
      <c r="AL146" s="383"/>
      <c r="AM146" s="384"/>
      <c r="AN146" s="384"/>
      <c r="AO146" s="397"/>
      <c r="AP146" s="397"/>
      <c r="AQ146" s="414"/>
      <c r="AR146" s="414"/>
      <c r="AS146" s="399"/>
      <c r="AT146" s="399"/>
      <c r="AU146" s="412"/>
      <c r="AV146" s="412"/>
      <c r="AW146" s="413"/>
      <c r="AX146" s="413"/>
      <c r="AY146" s="390"/>
      <c r="AZ146" s="391"/>
      <c r="BA146" s="355"/>
      <c r="BB146" s="375" t="s">
        <v>345</v>
      </c>
      <c r="BC146" s="375"/>
      <c r="BD146" s="86">
        <f t="shared" si="72"/>
        <v>0</v>
      </c>
      <c r="BE146" s="86">
        <f t="shared" si="73"/>
        <v>0</v>
      </c>
      <c r="BF146" s="392">
        <f t="shared" si="74"/>
        <v>0</v>
      </c>
      <c r="BG146">
        <f t="shared" si="75"/>
        <v>0</v>
      </c>
    </row>
    <row r="147" spans="1:59" ht="15" customHeight="1">
      <c r="A147" s="373"/>
      <c r="B147" s="406"/>
      <c r="C147" s="406" t="s">
        <v>346</v>
      </c>
      <c r="D147" s="375" t="s">
        <v>347</v>
      </c>
      <c r="E147" s="377">
        <v>6.25</v>
      </c>
      <c r="F147" s="377">
        <f>E147*0.33</f>
        <v>2.0625</v>
      </c>
      <c r="G147" s="379">
        <f t="shared" si="49"/>
        <v>0.33</v>
      </c>
      <c r="H147" s="377">
        <f>E147*1.33</f>
        <v>8.3125</v>
      </c>
      <c r="I147" s="377">
        <f t="shared" si="51"/>
        <v>9.975</v>
      </c>
      <c r="J147" s="378">
        <v>10</v>
      </c>
      <c r="K147" s="379"/>
      <c r="L147" s="380"/>
      <c r="M147" s="394"/>
      <c r="N147" s="382"/>
      <c r="O147" s="382"/>
      <c r="P147" s="382"/>
      <c r="Q147" s="382"/>
      <c r="R147" s="382"/>
      <c r="S147" s="382"/>
      <c r="T147" s="382"/>
      <c r="U147" s="382"/>
      <c r="V147" s="382"/>
      <c r="W147" s="382"/>
      <c r="X147" s="382"/>
      <c r="Y147" s="382"/>
      <c r="Z147" s="382"/>
      <c r="AA147" s="382"/>
      <c r="AB147" s="382"/>
      <c r="AC147" s="382"/>
      <c r="AD147" s="382"/>
      <c r="AE147" s="382"/>
      <c r="AF147" s="382"/>
      <c r="AG147" s="382"/>
      <c r="AH147" s="382"/>
      <c r="AI147" s="382"/>
      <c r="AJ147" s="382"/>
      <c r="AK147" s="382"/>
      <c r="AL147" s="383"/>
      <c r="AM147" s="384"/>
      <c r="AN147" s="384"/>
      <c r="AO147" s="397"/>
      <c r="AP147" s="397"/>
      <c r="AQ147" s="414"/>
      <c r="AR147" s="414"/>
      <c r="AS147" s="415"/>
      <c r="AT147" s="415"/>
      <c r="AU147" s="412"/>
      <c r="AV147" s="412"/>
      <c r="AW147" s="413"/>
      <c r="AX147" s="413"/>
      <c r="AY147" s="390"/>
      <c r="AZ147" s="391"/>
      <c r="BA147" s="355"/>
      <c r="BB147" s="375" t="s">
        <v>347</v>
      </c>
      <c r="BC147" s="375"/>
      <c r="BD147" s="86">
        <f t="shared" si="72"/>
        <v>0</v>
      </c>
      <c r="BE147" s="86">
        <f t="shared" si="73"/>
        <v>0</v>
      </c>
      <c r="BF147" s="392">
        <f t="shared" si="74"/>
        <v>0</v>
      </c>
      <c r="BG147">
        <f t="shared" si="75"/>
        <v>0</v>
      </c>
    </row>
    <row r="148" spans="1:59" ht="15.75" customHeight="1">
      <c r="A148" s="373"/>
      <c r="B148" s="406"/>
      <c r="C148" s="406" t="s">
        <v>348</v>
      </c>
      <c r="D148" s="375" t="s">
        <v>349</v>
      </c>
      <c r="E148" s="377"/>
      <c r="F148" s="377">
        <f>E148*0.25</f>
        <v>0</v>
      </c>
      <c r="G148" s="379"/>
      <c r="H148" s="377">
        <f>E148*1.25</f>
        <v>0</v>
      </c>
      <c r="I148" s="377">
        <f t="shared" si="51"/>
        <v>0</v>
      </c>
      <c r="J148" s="378">
        <v>10</v>
      </c>
      <c r="K148" s="379"/>
      <c r="L148" s="380"/>
      <c r="M148" s="394"/>
      <c r="N148" s="382"/>
      <c r="O148" s="382"/>
      <c r="P148" s="382"/>
      <c r="Q148" s="382"/>
      <c r="R148" s="382"/>
      <c r="S148" s="382"/>
      <c r="T148" s="382"/>
      <c r="U148" s="382"/>
      <c r="V148" s="382"/>
      <c r="W148" s="382"/>
      <c r="X148" s="382"/>
      <c r="Y148" s="382"/>
      <c r="Z148" s="382"/>
      <c r="AA148" s="382"/>
      <c r="AB148" s="382"/>
      <c r="AC148" s="382"/>
      <c r="AD148" s="382"/>
      <c r="AE148" s="382"/>
      <c r="AF148" s="382"/>
      <c r="AG148" s="382"/>
      <c r="AH148" s="382"/>
      <c r="AI148" s="382"/>
      <c r="AJ148" s="382"/>
      <c r="AK148" s="382"/>
      <c r="AL148" s="383"/>
      <c r="AM148" s="384"/>
      <c r="AN148" s="384"/>
      <c r="AO148" s="397"/>
      <c r="AP148" s="397"/>
      <c r="AQ148" s="414"/>
      <c r="AR148" s="414"/>
      <c r="AS148" s="415"/>
      <c r="AT148" s="415"/>
      <c r="AU148" s="412"/>
      <c r="AV148" s="412"/>
      <c r="AW148" s="413"/>
      <c r="AX148" s="413"/>
      <c r="AY148" s="390"/>
      <c r="AZ148" s="391"/>
      <c r="BA148" s="355"/>
      <c r="BB148" s="375" t="s">
        <v>349</v>
      </c>
      <c r="BC148" s="375"/>
      <c r="BD148" s="86">
        <f t="shared" si="72"/>
        <v>0</v>
      </c>
      <c r="BE148" s="86">
        <f t="shared" si="73"/>
        <v>0</v>
      </c>
      <c r="BF148" s="392">
        <f t="shared" si="74"/>
        <v>0</v>
      </c>
      <c r="BG148">
        <f t="shared" si="75"/>
        <v>0</v>
      </c>
    </row>
    <row r="149" spans="1:59" ht="15.75" customHeight="1">
      <c r="A149" s="373"/>
      <c r="B149" s="406"/>
      <c r="C149" s="493"/>
      <c r="D149" s="375" t="s">
        <v>350</v>
      </c>
      <c r="E149" s="377">
        <v>17.5</v>
      </c>
      <c r="F149" s="377">
        <f>E149*0.26</f>
        <v>4.55</v>
      </c>
      <c r="G149" s="379">
        <f aca="true" t="shared" si="76" ref="G149:G152">F149/E149</f>
        <v>0.26</v>
      </c>
      <c r="H149" s="377">
        <f>E149*1.26</f>
        <v>22.05</v>
      </c>
      <c r="I149" s="377">
        <f t="shared" si="51"/>
        <v>26.46</v>
      </c>
      <c r="J149" s="378">
        <v>26.5</v>
      </c>
      <c r="K149" s="379"/>
      <c r="L149" s="380"/>
      <c r="M149" s="394"/>
      <c r="N149" s="382"/>
      <c r="O149" s="382"/>
      <c r="P149" s="382"/>
      <c r="Q149" s="382"/>
      <c r="R149" s="382"/>
      <c r="S149" s="382"/>
      <c r="T149" s="382"/>
      <c r="U149" s="382"/>
      <c r="V149" s="382"/>
      <c r="W149" s="382"/>
      <c r="X149" s="382"/>
      <c r="Y149" s="382"/>
      <c r="Z149" s="382"/>
      <c r="AA149" s="382"/>
      <c r="AB149" s="382"/>
      <c r="AC149" s="382"/>
      <c r="AD149" s="382"/>
      <c r="AE149" s="382"/>
      <c r="AF149" s="382"/>
      <c r="AG149" s="382"/>
      <c r="AH149" s="382"/>
      <c r="AI149" s="382"/>
      <c r="AJ149" s="382"/>
      <c r="AK149" s="382"/>
      <c r="AL149" s="383"/>
      <c r="AM149" s="384"/>
      <c r="AN149" s="384"/>
      <c r="AO149" s="397"/>
      <c r="AP149" s="397"/>
      <c r="AQ149" s="414"/>
      <c r="AR149" s="414"/>
      <c r="AS149" s="415"/>
      <c r="AT149" s="415"/>
      <c r="AU149" s="412"/>
      <c r="AV149" s="412"/>
      <c r="AW149" s="413"/>
      <c r="AX149" s="413"/>
      <c r="AY149" s="390"/>
      <c r="AZ149" s="391"/>
      <c r="BA149" s="355"/>
      <c r="BB149" s="375" t="s">
        <v>350</v>
      </c>
      <c r="BC149" s="375"/>
      <c r="BD149" s="86">
        <f t="shared" si="72"/>
        <v>0</v>
      </c>
      <c r="BE149" s="86">
        <f t="shared" si="73"/>
        <v>0</v>
      </c>
      <c r="BF149" s="392">
        <f t="shared" si="74"/>
        <v>0</v>
      </c>
      <c r="BG149">
        <f t="shared" si="75"/>
        <v>0</v>
      </c>
    </row>
    <row r="150" spans="1:59" ht="16.5" customHeight="1">
      <c r="A150" s="373" t="s">
        <v>351</v>
      </c>
      <c r="B150" s="494" t="s">
        <v>352</v>
      </c>
      <c r="C150" s="494"/>
      <c r="D150" s="495" t="s">
        <v>353</v>
      </c>
      <c r="E150" s="396">
        <f>381.04/50</f>
        <v>7.6208</v>
      </c>
      <c r="F150" s="396">
        <f>E150*0.49</f>
        <v>3.7341919999999997</v>
      </c>
      <c r="G150" s="496">
        <f t="shared" si="76"/>
        <v>0.49</v>
      </c>
      <c r="H150" s="396">
        <f>E150*1.49</f>
        <v>11.354992</v>
      </c>
      <c r="I150" s="396">
        <f aca="true" t="shared" si="77" ref="I150:I152">H150*1.055</f>
        <v>11.979516559999999</v>
      </c>
      <c r="J150" s="378">
        <v>12</v>
      </c>
      <c r="K150" s="497">
        <v>0.055</v>
      </c>
      <c r="L150" s="380" t="s">
        <v>180</v>
      </c>
      <c r="M150" s="394"/>
      <c r="N150" s="382"/>
      <c r="O150" s="382"/>
      <c r="P150" s="382"/>
      <c r="Q150" s="382"/>
      <c r="R150" s="382"/>
      <c r="S150" s="382"/>
      <c r="T150" s="382"/>
      <c r="U150" s="382"/>
      <c r="V150" s="382"/>
      <c r="W150" s="382"/>
      <c r="X150" s="382"/>
      <c r="Y150" s="382"/>
      <c r="Z150" s="382"/>
      <c r="AA150" s="382"/>
      <c r="AB150" s="382"/>
      <c r="AC150" s="382"/>
      <c r="AD150" s="382"/>
      <c r="AE150" s="382"/>
      <c r="AF150" s="382"/>
      <c r="AG150" s="382"/>
      <c r="AH150" s="382"/>
      <c r="AI150" s="382"/>
      <c r="AJ150" s="382"/>
      <c r="AK150" s="382"/>
      <c r="AL150" s="383"/>
      <c r="AM150" s="384"/>
      <c r="AN150" s="384"/>
      <c r="AO150" s="405"/>
      <c r="AP150" s="405"/>
      <c r="AQ150" s="410"/>
      <c r="AR150" s="410"/>
      <c r="AS150" s="415"/>
      <c r="AT150" s="415"/>
      <c r="AU150" s="440"/>
      <c r="AV150" s="440"/>
      <c r="AW150" s="413"/>
      <c r="AX150" s="413"/>
      <c r="AY150" s="390"/>
      <c r="AZ150" s="391"/>
      <c r="BA150" s="355"/>
      <c r="BB150" s="495" t="s">
        <v>353</v>
      </c>
      <c r="BC150" s="495"/>
      <c r="BD150" s="86">
        <f t="shared" si="72"/>
        <v>0</v>
      </c>
      <c r="BE150" s="86">
        <f t="shared" si="73"/>
        <v>0</v>
      </c>
      <c r="BF150" s="392">
        <f t="shared" si="74"/>
        <v>0</v>
      </c>
      <c r="BG150">
        <f t="shared" si="75"/>
        <v>0</v>
      </c>
    </row>
    <row r="151" spans="1:59" ht="16.5" customHeight="1">
      <c r="A151" s="373"/>
      <c r="B151" s="494" t="s">
        <v>354</v>
      </c>
      <c r="C151" s="494"/>
      <c r="D151" s="495" t="s">
        <v>355</v>
      </c>
      <c r="E151" s="396">
        <v>17.08</v>
      </c>
      <c r="F151" s="396">
        <f>E151*0.38</f>
        <v>6.490399999999999</v>
      </c>
      <c r="G151" s="496">
        <f t="shared" si="76"/>
        <v>0.38</v>
      </c>
      <c r="H151" s="396">
        <f>E151*1.38</f>
        <v>23.570399999999996</v>
      </c>
      <c r="I151" s="396">
        <f t="shared" si="77"/>
        <v>24.866771999999994</v>
      </c>
      <c r="J151" s="378">
        <v>24.9</v>
      </c>
      <c r="K151" s="497"/>
      <c r="L151" s="380" t="s">
        <v>180</v>
      </c>
      <c r="M151" s="394"/>
      <c r="N151" s="382"/>
      <c r="O151" s="382"/>
      <c r="P151" s="382"/>
      <c r="Q151" s="382"/>
      <c r="R151" s="382"/>
      <c r="S151" s="382"/>
      <c r="T151" s="382"/>
      <c r="U151" s="382"/>
      <c r="V151" s="382"/>
      <c r="W151" s="382"/>
      <c r="X151" s="382"/>
      <c r="Y151" s="382"/>
      <c r="Z151" s="382"/>
      <c r="AA151" s="382"/>
      <c r="AB151" s="382"/>
      <c r="AC151" s="382"/>
      <c r="AD151" s="382"/>
      <c r="AE151" s="382"/>
      <c r="AF151" s="382"/>
      <c r="AG151" s="382"/>
      <c r="AH151" s="382"/>
      <c r="AI151" s="382"/>
      <c r="AJ151" s="382"/>
      <c r="AK151" s="382"/>
      <c r="AL151" s="383"/>
      <c r="AM151" s="384"/>
      <c r="AN151" s="384"/>
      <c r="AO151" s="405"/>
      <c r="AP151" s="405"/>
      <c r="AQ151" s="414"/>
      <c r="AR151" s="414"/>
      <c r="AS151" s="415"/>
      <c r="AT151" s="415"/>
      <c r="AU151" s="412"/>
      <c r="AV151" s="412"/>
      <c r="AW151" s="413"/>
      <c r="AX151" s="413"/>
      <c r="AY151" s="390"/>
      <c r="AZ151" s="391"/>
      <c r="BA151" s="355"/>
      <c r="BB151" s="495" t="s">
        <v>356</v>
      </c>
      <c r="BC151" s="495"/>
      <c r="BD151" s="86">
        <f t="shared" si="72"/>
        <v>0</v>
      </c>
      <c r="BE151" s="86">
        <f t="shared" si="73"/>
        <v>0</v>
      </c>
      <c r="BF151" s="392">
        <f t="shared" si="74"/>
        <v>0</v>
      </c>
      <c r="BG151">
        <f t="shared" si="75"/>
        <v>0</v>
      </c>
    </row>
    <row r="152" spans="1:59" ht="16.5" customHeight="1">
      <c r="A152" s="373"/>
      <c r="B152" s="494" t="s">
        <v>357</v>
      </c>
      <c r="C152" s="494"/>
      <c r="D152" s="495" t="s">
        <v>357</v>
      </c>
      <c r="E152" s="396">
        <v>4.59</v>
      </c>
      <c r="F152" s="396">
        <f>E152*0.43</f>
        <v>1.9737</v>
      </c>
      <c r="G152" s="496">
        <f t="shared" si="76"/>
        <v>0.43</v>
      </c>
      <c r="H152" s="396">
        <f>E152*1.43</f>
        <v>6.5637</v>
      </c>
      <c r="I152" s="396">
        <f t="shared" si="77"/>
        <v>6.9247035</v>
      </c>
      <c r="J152" s="378">
        <v>6.9</v>
      </c>
      <c r="K152" s="497"/>
      <c r="L152" s="380" t="s">
        <v>180</v>
      </c>
      <c r="M152" s="394"/>
      <c r="N152" s="382"/>
      <c r="O152" s="382"/>
      <c r="P152" s="382"/>
      <c r="Q152" s="382"/>
      <c r="R152" s="382"/>
      <c r="S152" s="382"/>
      <c r="T152" s="382"/>
      <c r="U152" s="382"/>
      <c r="V152" s="382"/>
      <c r="W152" s="382"/>
      <c r="X152" s="382"/>
      <c r="Y152" s="382"/>
      <c r="Z152" s="382"/>
      <c r="AA152" s="382"/>
      <c r="AB152" s="382"/>
      <c r="AC152" s="382"/>
      <c r="AD152" s="382"/>
      <c r="AE152" s="382"/>
      <c r="AF152" s="382"/>
      <c r="AG152" s="382"/>
      <c r="AH152" s="382"/>
      <c r="AI152" s="382"/>
      <c r="AJ152" s="382"/>
      <c r="AK152" s="382"/>
      <c r="AL152" s="383"/>
      <c r="AM152" s="384"/>
      <c r="AN152" s="384"/>
      <c r="AO152" s="397"/>
      <c r="AP152" s="397"/>
      <c r="AQ152" s="414"/>
      <c r="AR152" s="414"/>
      <c r="AS152" s="415"/>
      <c r="AT152" s="415"/>
      <c r="AU152" s="412"/>
      <c r="AV152" s="412"/>
      <c r="AW152" s="413"/>
      <c r="AX152" s="413"/>
      <c r="AY152" s="390"/>
      <c r="AZ152" s="391"/>
      <c r="BA152" s="355"/>
      <c r="BB152" s="495" t="s">
        <v>357</v>
      </c>
      <c r="BC152" s="495"/>
      <c r="BD152" s="86">
        <f t="shared" si="72"/>
        <v>0</v>
      </c>
      <c r="BE152" s="86">
        <f t="shared" si="73"/>
        <v>0</v>
      </c>
      <c r="BF152" s="392">
        <f t="shared" si="74"/>
        <v>0</v>
      </c>
      <c r="BG152">
        <f t="shared" si="75"/>
        <v>0</v>
      </c>
    </row>
    <row r="153" spans="1:59" ht="29.25" customHeight="1">
      <c r="A153" s="373"/>
      <c r="B153" s="494" t="s">
        <v>358</v>
      </c>
      <c r="C153" s="494"/>
      <c r="D153" s="495" t="s">
        <v>359</v>
      </c>
      <c r="E153" s="498"/>
      <c r="F153" s="498"/>
      <c r="G153" s="498"/>
      <c r="H153" s="498">
        <f>4*1.25</f>
        <v>5</v>
      </c>
      <c r="I153" s="498"/>
      <c r="J153" s="378">
        <v>5</v>
      </c>
      <c r="K153" s="499" t="s">
        <v>144</v>
      </c>
      <c r="L153" s="380"/>
      <c r="M153" s="394"/>
      <c r="N153" s="382"/>
      <c r="O153" s="382"/>
      <c r="P153" s="382"/>
      <c r="Q153" s="382"/>
      <c r="R153" s="382"/>
      <c r="S153" s="382"/>
      <c r="T153" s="382"/>
      <c r="U153" s="382"/>
      <c r="V153" s="382"/>
      <c r="W153" s="382"/>
      <c r="X153" s="382"/>
      <c r="Y153" s="382"/>
      <c r="Z153" s="382"/>
      <c r="AA153" s="382"/>
      <c r="AB153" s="382"/>
      <c r="AC153" s="382"/>
      <c r="AD153" s="382"/>
      <c r="AE153" s="382"/>
      <c r="AF153" s="382"/>
      <c r="AG153" s="382"/>
      <c r="AH153" s="382"/>
      <c r="AI153" s="382"/>
      <c r="AJ153" s="382"/>
      <c r="AK153" s="382"/>
      <c r="AL153" s="383"/>
      <c r="AM153" s="384"/>
      <c r="AN153" s="384"/>
      <c r="AO153" s="405"/>
      <c r="AP153" s="405"/>
      <c r="AQ153" s="414"/>
      <c r="AR153" s="414"/>
      <c r="AS153" s="415"/>
      <c r="AT153" s="415"/>
      <c r="AU153" s="412"/>
      <c r="AV153" s="412"/>
      <c r="AW153" s="500"/>
      <c r="AX153" s="500"/>
      <c r="AY153" s="390"/>
      <c r="AZ153" s="391"/>
      <c r="BA153" s="355"/>
      <c r="BB153" s="495" t="s">
        <v>359</v>
      </c>
      <c r="BC153" s="495"/>
      <c r="BD153" s="86">
        <f t="shared" si="72"/>
        <v>0</v>
      </c>
      <c r="BE153" s="86">
        <f t="shared" si="73"/>
        <v>0</v>
      </c>
      <c r="BF153" s="392">
        <f t="shared" si="74"/>
        <v>0</v>
      </c>
      <c r="BG153">
        <f t="shared" si="75"/>
        <v>0</v>
      </c>
    </row>
    <row r="154" spans="1:59" ht="15.75" customHeight="1">
      <c r="A154" s="373"/>
      <c r="B154" s="406" t="s">
        <v>360</v>
      </c>
      <c r="C154" s="406"/>
      <c r="D154" s="501" t="s">
        <v>361</v>
      </c>
      <c r="E154" s="502" t="s">
        <v>168</v>
      </c>
      <c r="F154" s="502"/>
      <c r="G154" s="502"/>
      <c r="H154" s="502"/>
      <c r="I154" s="502"/>
      <c r="J154" s="378">
        <v>15</v>
      </c>
      <c r="K154" s="503"/>
      <c r="L154" s="504" t="s">
        <v>168</v>
      </c>
      <c r="M154" s="394"/>
      <c r="N154" s="382"/>
      <c r="O154" s="382"/>
      <c r="P154" s="382"/>
      <c r="Q154" s="382"/>
      <c r="R154" s="382"/>
      <c r="S154" s="382"/>
      <c r="T154" s="382"/>
      <c r="U154" s="382"/>
      <c r="V154" s="382"/>
      <c r="W154" s="382"/>
      <c r="X154" s="382"/>
      <c r="Y154" s="382"/>
      <c r="Z154" s="382"/>
      <c r="AA154" s="382"/>
      <c r="AB154" s="382"/>
      <c r="AC154" s="382"/>
      <c r="AD154" s="382"/>
      <c r="AE154" s="382"/>
      <c r="AF154" s="382"/>
      <c r="AG154" s="382"/>
      <c r="AH154" s="382"/>
      <c r="AI154" s="382"/>
      <c r="AJ154" s="382"/>
      <c r="AK154" s="382"/>
      <c r="AL154" s="383"/>
      <c r="AM154" s="384"/>
      <c r="AN154" s="384"/>
      <c r="AO154" s="397"/>
      <c r="AP154" s="397"/>
      <c r="AQ154" s="414"/>
      <c r="AR154" s="414"/>
      <c r="AS154" s="415"/>
      <c r="AT154" s="415"/>
      <c r="AU154" s="412"/>
      <c r="AV154" s="412"/>
      <c r="AW154" s="413"/>
      <c r="AX154" s="413"/>
      <c r="AY154" s="390"/>
      <c r="AZ154" s="391"/>
      <c r="BA154" s="355"/>
      <c r="BB154" s="495" t="s">
        <v>361</v>
      </c>
      <c r="BC154" s="495"/>
      <c r="BD154" s="86">
        <f t="shared" si="72"/>
        <v>0</v>
      </c>
      <c r="BE154" s="86">
        <f t="shared" si="73"/>
        <v>0</v>
      </c>
      <c r="BF154" s="392">
        <f t="shared" si="74"/>
        <v>0</v>
      </c>
      <c r="BG154">
        <f t="shared" si="75"/>
        <v>0</v>
      </c>
    </row>
    <row r="155" spans="1:59" ht="15.75" customHeight="1">
      <c r="A155" s="373"/>
      <c r="B155" s="406"/>
      <c r="C155" s="493"/>
      <c r="D155" s="501" t="s">
        <v>362</v>
      </c>
      <c r="E155" s="502" t="s">
        <v>168</v>
      </c>
      <c r="F155" s="502"/>
      <c r="G155" s="502"/>
      <c r="H155" s="502"/>
      <c r="I155" s="502"/>
      <c r="J155" s="378">
        <v>15</v>
      </c>
      <c r="K155" s="503"/>
      <c r="L155" s="504" t="s">
        <v>168</v>
      </c>
      <c r="M155" s="394"/>
      <c r="N155" s="382"/>
      <c r="O155" s="382"/>
      <c r="P155" s="382"/>
      <c r="Q155" s="382"/>
      <c r="R155" s="382"/>
      <c r="S155" s="382"/>
      <c r="T155" s="382"/>
      <c r="U155" s="382"/>
      <c r="V155" s="382"/>
      <c r="W155" s="382"/>
      <c r="X155" s="382"/>
      <c r="Y155" s="382"/>
      <c r="Z155" s="382"/>
      <c r="AA155" s="382"/>
      <c r="AB155" s="382"/>
      <c r="AC155" s="382"/>
      <c r="AD155" s="382"/>
      <c r="AE155" s="382"/>
      <c r="AF155" s="382"/>
      <c r="AG155" s="382"/>
      <c r="AH155" s="382"/>
      <c r="AI155" s="382"/>
      <c r="AJ155" s="382"/>
      <c r="AK155" s="382"/>
      <c r="AL155" s="383"/>
      <c r="AM155" s="384"/>
      <c r="AN155" s="384"/>
      <c r="AO155" s="397"/>
      <c r="AP155" s="397"/>
      <c r="AQ155" s="414"/>
      <c r="AR155" s="414"/>
      <c r="AS155" s="415"/>
      <c r="AT155" s="415"/>
      <c r="AU155" s="412"/>
      <c r="AV155" s="412"/>
      <c r="AW155" s="413"/>
      <c r="AX155" s="413"/>
      <c r="AY155" s="390"/>
      <c r="AZ155" s="391"/>
      <c r="BA155" s="355"/>
      <c r="BB155" s="495" t="s">
        <v>362</v>
      </c>
      <c r="BC155" s="495"/>
      <c r="BD155" s="86">
        <f t="shared" si="72"/>
        <v>0</v>
      </c>
      <c r="BE155" s="86">
        <f t="shared" si="73"/>
        <v>0</v>
      </c>
      <c r="BF155" s="392">
        <f t="shared" si="74"/>
        <v>0</v>
      </c>
      <c r="BG155">
        <f t="shared" si="75"/>
        <v>0</v>
      </c>
    </row>
    <row r="156" spans="1:58" ht="15.75" customHeight="1">
      <c r="A156" s="373"/>
      <c r="B156" s="493" t="s">
        <v>363</v>
      </c>
      <c r="C156" s="493"/>
      <c r="D156" s="489" t="s">
        <v>364</v>
      </c>
      <c r="E156" s="442">
        <v>10</v>
      </c>
      <c r="F156" s="442">
        <f>E156*1.1</f>
        <v>11</v>
      </c>
      <c r="G156" s="443">
        <f>F156/E156</f>
        <v>1.1</v>
      </c>
      <c r="H156" s="442">
        <f>E156*2.1</f>
        <v>21</v>
      </c>
      <c r="I156" s="442">
        <f>H156*1.2</f>
        <v>25.2</v>
      </c>
      <c r="J156" s="442">
        <v>25</v>
      </c>
      <c r="K156" s="423">
        <v>0.2</v>
      </c>
      <c r="L156" s="380" t="s">
        <v>180</v>
      </c>
      <c r="M156" s="394"/>
      <c r="N156" s="382"/>
      <c r="O156" s="382"/>
      <c r="P156" s="382"/>
      <c r="Q156" s="382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  <c r="AC156" s="382"/>
      <c r="AD156" s="382"/>
      <c r="AE156" s="382"/>
      <c r="AF156" s="382"/>
      <c r="AG156" s="382"/>
      <c r="AH156" s="382"/>
      <c r="AI156" s="382"/>
      <c r="AJ156" s="382"/>
      <c r="AK156" s="382"/>
      <c r="AL156" s="383"/>
      <c r="AM156" s="384"/>
      <c r="AN156" s="384"/>
      <c r="AO156" s="397"/>
      <c r="AP156" s="397"/>
      <c r="AQ156" s="414"/>
      <c r="AR156" s="414"/>
      <c r="AS156" s="415"/>
      <c r="AT156" s="415"/>
      <c r="AU156" s="412"/>
      <c r="AV156" s="412"/>
      <c r="AW156" s="413"/>
      <c r="AX156" s="413"/>
      <c r="AY156" s="390"/>
      <c r="AZ156" s="391"/>
      <c r="BA156" s="355"/>
      <c r="BB156" s="495"/>
      <c r="BC156" s="495"/>
      <c r="BD156" s="86"/>
      <c r="BE156" s="86"/>
      <c r="BF156" s="392"/>
    </row>
    <row r="157" spans="1:59" ht="15.75" customHeight="1">
      <c r="A157" s="373"/>
      <c r="B157" s="493" t="s">
        <v>365</v>
      </c>
      <c r="C157" s="493"/>
      <c r="D157" s="495" t="s">
        <v>366</v>
      </c>
      <c r="E157" s="505" t="s">
        <v>367</v>
      </c>
      <c r="F157" s="505"/>
      <c r="G157" s="505"/>
      <c r="H157" s="505"/>
      <c r="I157" s="505"/>
      <c r="J157" s="506">
        <v>3</v>
      </c>
      <c r="K157" s="503">
        <v>0.055</v>
      </c>
      <c r="L157" s="506"/>
      <c r="M157" s="394"/>
      <c r="N157" s="382"/>
      <c r="O157" s="382"/>
      <c r="P157" s="382"/>
      <c r="Q157" s="382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  <c r="AC157" s="382"/>
      <c r="AD157" s="382"/>
      <c r="AE157" s="382"/>
      <c r="AF157" s="382"/>
      <c r="AG157" s="382"/>
      <c r="AH157" s="382"/>
      <c r="AI157" s="382"/>
      <c r="AJ157" s="382"/>
      <c r="AK157" s="382"/>
      <c r="AL157" s="383"/>
      <c r="AM157" s="384"/>
      <c r="AN157" s="384"/>
      <c r="AO157" s="397"/>
      <c r="AP157" s="397"/>
      <c r="AQ157" s="414"/>
      <c r="AR157" s="414"/>
      <c r="AS157" s="415"/>
      <c r="AT157" s="415"/>
      <c r="AU157" s="412"/>
      <c r="AV157" s="412"/>
      <c r="AW157" s="413"/>
      <c r="AX157" s="413"/>
      <c r="AY157" s="390"/>
      <c r="AZ157" s="391"/>
      <c r="BA157" s="355"/>
      <c r="BB157" s="495" t="s">
        <v>366</v>
      </c>
      <c r="BC157" s="507"/>
      <c r="BD157" s="86">
        <f aca="true" t="shared" si="78" ref="BD157:BD165">M157+O157+Q157+S157+U157+W157+Y157+AA157+AC157+AE157+AG157+AI157+AK157</f>
        <v>0</v>
      </c>
      <c r="BE157" s="86">
        <f aca="true" t="shared" si="79" ref="BE157:BE165">AY157</f>
        <v>0</v>
      </c>
      <c r="BF157" s="392">
        <f aca="true" t="shared" si="80" ref="BF157:BF165">(BC157+BD157)-AY157</f>
        <v>0</v>
      </c>
      <c r="BG157">
        <f aca="true" t="shared" si="81" ref="BG157:BG165">IF(BF157&gt;=6,"Ok","Commande")</f>
        <v>0</v>
      </c>
    </row>
    <row r="158" spans="1:59" ht="37.5" customHeight="1">
      <c r="A158" s="373"/>
      <c r="B158" s="493"/>
      <c r="C158" s="493"/>
      <c r="D158" s="495" t="s">
        <v>368</v>
      </c>
      <c r="E158" s="498"/>
      <c r="F158" s="498"/>
      <c r="G158" s="498"/>
      <c r="H158" s="498">
        <v>20</v>
      </c>
      <c r="I158" s="498"/>
      <c r="J158" s="378">
        <v>30</v>
      </c>
      <c r="K158" s="499" t="s">
        <v>144</v>
      </c>
      <c r="L158" s="380" t="s">
        <v>180</v>
      </c>
      <c r="M158" s="394"/>
      <c r="N158" s="382"/>
      <c r="O158" s="382"/>
      <c r="P158" s="382"/>
      <c r="Q158" s="382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  <c r="AC158" s="382"/>
      <c r="AD158" s="382"/>
      <c r="AE158" s="382"/>
      <c r="AF158" s="382"/>
      <c r="AG158" s="382"/>
      <c r="AH158" s="382"/>
      <c r="AI158" s="382"/>
      <c r="AJ158" s="382"/>
      <c r="AK158" s="382"/>
      <c r="AL158" s="383"/>
      <c r="AM158" s="384"/>
      <c r="AN158" s="384"/>
      <c r="AO158" s="397"/>
      <c r="AP158" s="397"/>
      <c r="AQ158" s="414"/>
      <c r="AR158" s="414"/>
      <c r="AS158" s="415"/>
      <c r="AT158" s="415"/>
      <c r="AU158" s="412"/>
      <c r="AV158" s="412"/>
      <c r="AW158" s="413"/>
      <c r="AX158" s="413"/>
      <c r="AY158" s="390"/>
      <c r="AZ158" s="391"/>
      <c r="BA158" s="355"/>
      <c r="BB158" s="495" t="s">
        <v>368</v>
      </c>
      <c r="BC158" s="495"/>
      <c r="BD158" s="86">
        <f t="shared" si="78"/>
        <v>0</v>
      </c>
      <c r="BE158" s="86">
        <f t="shared" si="79"/>
        <v>0</v>
      </c>
      <c r="BF158" s="392">
        <f t="shared" si="80"/>
        <v>0</v>
      </c>
      <c r="BG158">
        <f t="shared" si="81"/>
        <v>0</v>
      </c>
    </row>
    <row r="159" spans="1:59" ht="15" customHeight="1">
      <c r="A159" s="373"/>
      <c r="B159" s="493"/>
      <c r="C159" s="493"/>
      <c r="D159" s="495" t="s">
        <v>369</v>
      </c>
      <c r="E159" s="396">
        <v>27.5</v>
      </c>
      <c r="F159" s="396">
        <f>E159*0.38</f>
        <v>10.45</v>
      </c>
      <c r="G159" s="496">
        <f aca="true" t="shared" si="82" ref="G159:G161">F159/E159</f>
        <v>0.37999999999999995</v>
      </c>
      <c r="H159" s="396">
        <f>E159*1.38</f>
        <v>37.949999999999996</v>
      </c>
      <c r="I159" s="396">
        <f aca="true" t="shared" si="83" ref="I159:I161">H159*1.055</f>
        <v>40.03724999999999</v>
      </c>
      <c r="J159" s="378">
        <v>40</v>
      </c>
      <c r="K159" s="508">
        <v>0.055</v>
      </c>
      <c r="L159" s="380" t="s">
        <v>180</v>
      </c>
      <c r="M159" s="394"/>
      <c r="N159" s="382"/>
      <c r="O159" s="382"/>
      <c r="P159" s="382"/>
      <c r="Q159" s="382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  <c r="AC159" s="382"/>
      <c r="AD159" s="382"/>
      <c r="AE159" s="382"/>
      <c r="AF159" s="382"/>
      <c r="AG159" s="382"/>
      <c r="AH159" s="382"/>
      <c r="AI159" s="382"/>
      <c r="AJ159" s="382"/>
      <c r="AK159" s="382"/>
      <c r="AL159" s="383"/>
      <c r="AM159" s="384"/>
      <c r="AN159" s="384"/>
      <c r="AO159" s="397"/>
      <c r="AP159" s="397"/>
      <c r="AQ159" s="414"/>
      <c r="AR159" s="414"/>
      <c r="AS159" s="415"/>
      <c r="AT159" s="415"/>
      <c r="AU159" s="412"/>
      <c r="AV159" s="412"/>
      <c r="AW159" s="413"/>
      <c r="AX159" s="413"/>
      <c r="AY159" s="390"/>
      <c r="AZ159" s="391"/>
      <c r="BA159" s="355"/>
      <c r="BB159" s="495" t="s">
        <v>369</v>
      </c>
      <c r="BC159" s="495"/>
      <c r="BD159" s="86">
        <f t="shared" si="78"/>
        <v>0</v>
      </c>
      <c r="BE159" s="86">
        <f t="shared" si="79"/>
        <v>0</v>
      </c>
      <c r="BF159" s="392">
        <f t="shared" si="80"/>
        <v>0</v>
      </c>
      <c r="BG159">
        <f t="shared" si="81"/>
        <v>0</v>
      </c>
    </row>
    <row r="160" spans="1:59" ht="16.5" customHeight="1">
      <c r="A160" s="373"/>
      <c r="B160" s="406" t="s">
        <v>370</v>
      </c>
      <c r="C160" s="406"/>
      <c r="D160" s="495" t="s">
        <v>371</v>
      </c>
      <c r="E160" s="396">
        <v>10.83</v>
      </c>
      <c r="F160" s="396">
        <f>E160*0.57</f>
        <v>6.1731</v>
      </c>
      <c r="G160" s="496">
        <f t="shared" si="82"/>
        <v>0.57</v>
      </c>
      <c r="H160" s="396">
        <f>E160*1.57</f>
        <v>17.0031</v>
      </c>
      <c r="I160" s="396">
        <f t="shared" si="83"/>
        <v>17.938270499999998</v>
      </c>
      <c r="J160" s="378">
        <v>18</v>
      </c>
      <c r="K160" s="508"/>
      <c r="L160" s="380" t="s">
        <v>180</v>
      </c>
      <c r="M160" s="394"/>
      <c r="N160" s="382"/>
      <c r="O160" s="382"/>
      <c r="P160" s="382"/>
      <c r="Q160" s="382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  <c r="AC160" s="382"/>
      <c r="AD160" s="382"/>
      <c r="AE160" s="382"/>
      <c r="AF160" s="382"/>
      <c r="AG160" s="382"/>
      <c r="AH160" s="382"/>
      <c r="AI160" s="382"/>
      <c r="AJ160" s="382"/>
      <c r="AK160" s="382"/>
      <c r="AL160" s="383"/>
      <c r="AM160" s="384"/>
      <c r="AN160" s="384"/>
      <c r="AO160" s="397"/>
      <c r="AP160" s="397"/>
      <c r="AQ160" s="414"/>
      <c r="AR160" s="414"/>
      <c r="AS160" s="415"/>
      <c r="AT160" s="415"/>
      <c r="AU160" s="412"/>
      <c r="AV160" s="412"/>
      <c r="AW160" s="413"/>
      <c r="AX160" s="413"/>
      <c r="AY160" s="390"/>
      <c r="AZ160" s="391"/>
      <c r="BA160" s="355"/>
      <c r="BB160" s="495" t="s">
        <v>371</v>
      </c>
      <c r="BC160" s="495"/>
      <c r="BD160" s="86">
        <f t="shared" si="78"/>
        <v>0</v>
      </c>
      <c r="BE160" s="86">
        <f t="shared" si="79"/>
        <v>0</v>
      </c>
      <c r="BF160" s="392">
        <f t="shared" si="80"/>
        <v>0</v>
      </c>
      <c r="BG160">
        <f t="shared" si="81"/>
        <v>0</v>
      </c>
    </row>
    <row r="161" spans="1:59" ht="16.5" customHeight="1">
      <c r="A161" s="373"/>
      <c r="B161" s="406" t="s">
        <v>372</v>
      </c>
      <c r="C161" s="406"/>
      <c r="D161" s="495" t="s">
        <v>373</v>
      </c>
      <c r="E161" s="509">
        <v>3.915</v>
      </c>
      <c r="F161" s="396">
        <f>E161*0.43</f>
        <v>1.68345</v>
      </c>
      <c r="G161" s="496">
        <f t="shared" si="82"/>
        <v>0.43</v>
      </c>
      <c r="H161" s="396">
        <f>E161*1.43</f>
        <v>5.59845</v>
      </c>
      <c r="I161" s="396">
        <f t="shared" si="83"/>
        <v>5.906364749999999</v>
      </c>
      <c r="J161" s="378">
        <v>5.9</v>
      </c>
      <c r="K161" s="508"/>
      <c r="L161" s="380" t="s">
        <v>180</v>
      </c>
      <c r="M161" s="394"/>
      <c r="N161" s="382"/>
      <c r="O161" s="382"/>
      <c r="P161" s="382"/>
      <c r="Q161" s="382"/>
      <c r="R161" s="382"/>
      <c r="S161" s="382"/>
      <c r="T161" s="382"/>
      <c r="U161" s="382"/>
      <c r="V161" s="382"/>
      <c r="W161" s="510">
        <v>25</v>
      </c>
      <c r="X161" s="511">
        <v>97.87</v>
      </c>
      <c r="Y161" s="382"/>
      <c r="Z161" s="382"/>
      <c r="AA161" s="382"/>
      <c r="AB161" s="382"/>
      <c r="AC161" s="382"/>
      <c r="AD161" s="382"/>
      <c r="AE161" s="382"/>
      <c r="AF161" s="382"/>
      <c r="AG161" s="382"/>
      <c r="AH161" s="382"/>
      <c r="AI161" s="382"/>
      <c r="AJ161" s="382"/>
      <c r="AK161" s="382"/>
      <c r="AL161" s="383"/>
      <c r="AM161" s="384"/>
      <c r="AN161" s="384"/>
      <c r="AO161" s="405"/>
      <c r="AP161" s="405"/>
      <c r="AQ161" s="410"/>
      <c r="AR161" s="410"/>
      <c r="AS161" s="415"/>
      <c r="AT161" s="415"/>
      <c r="AU161" s="412"/>
      <c r="AV161" s="412"/>
      <c r="AW161" s="413"/>
      <c r="AX161" s="413"/>
      <c r="AY161" s="390"/>
      <c r="AZ161" s="391"/>
      <c r="BA161" s="355"/>
      <c r="BB161" s="495" t="s">
        <v>373</v>
      </c>
      <c r="BC161" s="495"/>
      <c r="BD161" s="86">
        <f t="shared" si="78"/>
        <v>25</v>
      </c>
      <c r="BE161" s="86">
        <f t="shared" si="79"/>
        <v>0</v>
      </c>
      <c r="BF161" s="392">
        <f t="shared" si="80"/>
        <v>25</v>
      </c>
      <c r="BG161">
        <f t="shared" si="81"/>
        <v>0</v>
      </c>
    </row>
    <row r="162" spans="1:59" ht="16.5" customHeight="1">
      <c r="A162" s="373"/>
      <c r="B162" s="406" t="s">
        <v>374</v>
      </c>
      <c r="C162" s="406"/>
      <c r="D162" s="495" t="s">
        <v>374</v>
      </c>
      <c r="E162" s="396">
        <f>F162/1.2</f>
        <v>0</v>
      </c>
      <c r="F162" s="396">
        <v>0</v>
      </c>
      <c r="G162" s="396" t="s">
        <v>375</v>
      </c>
      <c r="H162" s="396">
        <f>E162*1.25</f>
        <v>0</v>
      </c>
      <c r="I162" s="396"/>
      <c r="J162" s="378">
        <v>12</v>
      </c>
      <c r="K162" s="508"/>
      <c r="L162" s="380" t="s">
        <v>180</v>
      </c>
      <c r="M162" s="394"/>
      <c r="N162" s="382"/>
      <c r="O162" s="382"/>
      <c r="P162" s="382"/>
      <c r="Q162" s="382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  <c r="AC162" s="382"/>
      <c r="AD162" s="382"/>
      <c r="AE162" s="382"/>
      <c r="AF162" s="382"/>
      <c r="AG162" s="382"/>
      <c r="AH162" s="382"/>
      <c r="AI162" s="382"/>
      <c r="AJ162" s="382"/>
      <c r="AK162" s="382"/>
      <c r="AL162" s="383"/>
      <c r="AM162" s="384"/>
      <c r="AN162" s="384"/>
      <c r="AO162" s="405"/>
      <c r="AP162" s="405"/>
      <c r="AQ162" s="410"/>
      <c r="AR162" s="410"/>
      <c r="AS162" s="415"/>
      <c r="AT162" s="415"/>
      <c r="AU162" s="412"/>
      <c r="AV162" s="412"/>
      <c r="AW162" s="413"/>
      <c r="AX162" s="413"/>
      <c r="AY162" s="390"/>
      <c r="AZ162" s="391"/>
      <c r="BA162" s="355"/>
      <c r="BB162" s="495" t="s">
        <v>374</v>
      </c>
      <c r="BC162" s="495"/>
      <c r="BD162" s="86">
        <f t="shared" si="78"/>
        <v>0</v>
      </c>
      <c r="BE162" s="86">
        <f t="shared" si="79"/>
        <v>0</v>
      </c>
      <c r="BF162" s="392">
        <f t="shared" si="80"/>
        <v>0</v>
      </c>
      <c r="BG162">
        <f t="shared" si="81"/>
        <v>0</v>
      </c>
    </row>
    <row r="163" spans="1:59" ht="15.75" customHeight="1">
      <c r="A163" s="373"/>
      <c r="B163" s="374" t="s">
        <v>376</v>
      </c>
      <c r="C163" s="374"/>
      <c r="D163" s="495" t="s">
        <v>377</v>
      </c>
      <c r="E163" s="377">
        <v>8.11</v>
      </c>
      <c r="F163" s="377">
        <f aca="true" t="shared" si="84" ref="F163:F165">E163*0.43</f>
        <v>3.4873</v>
      </c>
      <c r="G163" s="379">
        <f aca="true" t="shared" si="85" ref="G163:G165">F163/E163</f>
        <v>0.43</v>
      </c>
      <c r="H163" s="377">
        <f aca="true" t="shared" si="86" ref="H163:H165">E163*1.43</f>
        <v>11.597299999999999</v>
      </c>
      <c r="I163" s="377">
        <f>H163*1.2</f>
        <v>13.916759999999998</v>
      </c>
      <c r="J163" s="378">
        <v>13.9</v>
      </c>
      <c r="K163" s="423">
        <v>0.2</v>
      </c>
      <c r="L163" s="380"/>
      <c r="M163" s="394"/>
      <c r="N163" s="382"/>
      <c r="O163" s="382"/>
      <c r="P163" s="382"/>
      <c r="Q163" s="382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  <c r="AC163" s="382"/>
      <c r="AD163" s="382"/>
      <c r="AE163" s="382"/>
      <c r="AF163" s="382"/>
      <c r="AG163" s="382"/>
      <c r="AH163" s="382"/>
      <c r="AI163" s="382"/>
      <c r="AJ163" s="382"/>
      <c r="AK163" s="382"/>
      <c r="AL163" s="383"/>
      <c r="AM163" s="384"/>
      <c r="AN163" s="384"/>
      <c r="AO163" s="397"/>
      <c r="AP163" s="397"/>
      <c r="AQ163" s="414"/>
      <c r="AR163" s="414"/>
      <c r="AS163" s="415"/>
      <c r="AT163" s="415"/>
      <c r="AU163" s="412"/>
      <c r="AV163" s="412"/>
      <c r="AW163" s="413"/>
      <c r="AX163" s="413"/>
      <c r="AY163" s="390"/>
      <c r="AZ163" s="391"/>
      <c r="BA163" s="355"/>
      <c r="BB163" s="495" t="s">
        <v>377</v>
      </c>
      <c r="BC163" s="495"/>
      <c r="BD163" s="86">
        <f t="shared" si="78"/>
        <v>0</v>
      </c>
      <c r="BE163" s="86">
        <f t="shared" si="79"/>
        <v>0</v>
      </c>
      <c r="BF163" s="392">
        <f t="shared" si="80"/>
        <v>0</v>
      </c>
      <c r="BG163">
        <f t="shared" si="81"/>
        <v>0</v>
      </c>
    </row>
    <row r="164" spans="1:59" ht="15.75" customHeight="1">
      <c r="A164" s="373"/>
      <c r="B164" s="374"/>
      <c r="C164" s="493"/>
      <c r="D164" s="495" t="s">
        <v>378</v>
      </c>
      <c r="E164" s="396">
        <v>9.29</v>
      </c>
      <c r="F164" s="396">
        <f t="shared" si="84"/>
        <v>3.9946999999999995</v>
      </c>
      <c r="G164" s="496">
        <f t="shared" si="85"/>
        <v>0.43</v>
      </c>
      <c r="H164" s="396">
        <f t="shared" si="86"/>
        <v>13.284699999999999</v>
      </c>
      <c r="I164" s="396">
        <f aca="true" t="shared" si="87" ref="I164:I165">H164*1.055</f>
        <v>14.015358499999998</v>
      </c>
      <c r="J164" s="378">
        <v>14</v>
      </c>
      <c r="K164" s="512">
        <v>0.055</v>
      </c>
      <c r="L164" s="380" t="s">
        <v>180</v>
      </c>
      <c r="M164" s="394"/>
      <c r="N164" s="382"/>
      <c r="O164" s="382"/>
      <c r="P164" s="382"/>
      <c r="Q164" s="382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  <c r="AC164" s="382"/>
      <c r="AD164" s="382"/>
      <c r="AE164" s="382"/>
      <c r="AF164" s="382"/>
      <c r="AG164" s="382"/>
      <c r="AH164" s="382"/>
      <c r="AI164" s="382"/>
      <c r="AJ164" s="382"/>
      <c r="AK164" s="382"/>
      <c r="AL164" s="383"/>
      <c r="AM164" s="384"/>
      <c r="AN164" s="384"/>
      <c r="AO164" s="397"/>
      <c r="AP164" s="397"/>
      <c r="AQ164" s="414"/>
      <c r="AR164" s="414"/>
      <c r="AS164" s="415"/>
      <c r="AT164" s="415"/>
      <c r="AU164" s="412"/>
      <c r="AV164" s="412"/>
      <c r="AW164" s="413"/>
      <c r="AX164" s="413"/>
      <c r="AY164" s="390"/>
      <c r="AZ164" s="391"/>
      <c r="BA164" s="355"/>
      <c r="BB164" s="495" t="s">
        <v>378</v>
      </c>
      <c r="BC164" s="495"/>
      <c r="BD164" s="86">
        <f t="shared" si="78"/>
        <v>0</v>
      </c>
      <c r="BE164" s="86">
        <f t="shared" si="79"/>
        <v>0</v>
      </c>
      <c r="BF164" s="392">
        <f t="shared" si="80"/>
        <v>0</v>
      </c>
      <c r="BG164">
        <f t="shared" si="81"/>
        <v>0</v>
      </c>
    </row>
    <row r="165" spans="1:59" ht="15.75" customHeight="1">
      <c r="A165" s="373"/>
      <c r="B165" s="374"/>
      <c r="C165" s="493"/>
      <c r="D165" s="495" t="s">
        <v>379</v>
      </c>
      <c r="E165" s="396">
        <v>2.59</v>
      </c>
      <c r="F165" s="396">
        <f t="shared" si="84"/>
        <v>1.1137</v>
      </c>
      <c r="G165" s="496">
        <f t="shared" si="85"/>
        <v>0.43</v>
      </c>
      <c r="H165" s="396">
        <f t="shared" si="86"/>
        <v>3.7036999999999995</v>
      </c>
      <c r="I165" s="396">
        <f t="shared" si="87"/>
        <v>3.907403499999999</v>
      </c>
      <c r="J165" s="378">
        <v>3.9</v>
      </c>
      <c r="K165" s="512"/>
      <c r="L165" s="380"/>
      <c r="M165" s="394"/>
      <c r="N165" s="382"/>
      <c r="O165" s="382"/>
      <c r="P165" s="382"/>
      <c r="Q165" s="382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  <c r="AC165" s="382"/>
      <c r="AD165" s="382"/>
      <c r="AE165" s="382"/>
      <c r="AF165" s="382"/>
      <c r="AG165" s="382"/>
      <c r="AH165" s="382"/>
      <c r="AI165" s="382"/>
      <c r="AJ165" s="382"/>
      <c r="AK165" s="382"/>
      <c r="AL165" s="383"/>
      <c r="AM165" s="384"/>
      <c r="AN165" s="384"/>
      <c r="AO165" s="397"/>
      <c r="AP165" s="397"/>
      <c r="AQ165" s="414"/>
      <c r="AR165" s="414"/>
      <c r="AS165" s="415"/>
      <c r="AT165" s="415"/>
      <c r="AU165" s="412"/>
      <c r="AV165" s="412"/>
      <c r="AW165" s="413"/>
      <c r="AX165" s="413"/>
      <c r="AY165" s="390"/>
      <c r="AZ165" s="391"/>
      <c r="BA165" s="355"/>
      <c r="BB165" s="495" t="s">
        <v>379</v>
      </c>
      <c r="BC165" s="507"/>
      <c r="BD165" s="86">
        <f t="shared" si="78"/>
        <v>0</v>
      </c>
      <c r="BE165" s="86">
        <f t="shared" si="79"/>
        <v>0</v>
      </c>
      <c r="BF165" s="392">
        <f t="shared" si="80"/>
        <v>0</v>
      </c>
      <c r="BG165">
        <f t="shared" si="81"/>
        <v>0</v>
      </c>
    </row>
    <row r="166" spans="1:58" ht="15.75" customHeight="1">
      <c r="A166" s="373"/>
      <c r="B166" s="493"/>
      <c r="C166" s="493"/>
      <c r="D166" s="501" t="s">
        <v>380</v>
      </c>
      <c r="E166" s="502" t="s">
        <v>168</v>
      </c>
      <c r="F166" s="502"/>
      <c r="G166" s="502"/>
      <c r="H166" s="502"/>
      <c r="I166" s="502"/>
      <c r="J166" s="486">
        <v>15</v>
      </c>
      <c r="K166" s="512"/>
      <c r="L166" s="513"/>
      <c r="M166" s="394"/>
      <c r="N166" s="382"/>
      <c r="O166" s="382"/>
      <c r="P166" s="382"/>
      <c r="Q166" s="382"/>
      <c r="R166" s="382"/>
      <c r="S166" s="382"/>
      <c r="T166" s="382"/>
      <c r="U166" s="382"/>
      <c r="V166" s="382"/>
      <c r="W166" s="382"/>
      <c r="X166" s="382"/>
      <c r="Y166" s="382"/>
      <c r="Z166" s="382"/>
      <c r="AA166" s="382"/>
      <c r="AB166" s="382"/>
      <c r="AC166" s="382"/>
      <c r="AD166" s="382"/>
      <c r="AE166" s="382"/>
      <c r="AF166" s="382"/>
      <c r="AG166" s="382"/>
      <c r="AH166" s="382"/>
      <c r="AI166" s="382"/>
      <c r="AJ166" s="382"/>
      <c r="AK166" s="382"/>
      <c r="AL166" s="383"/>
      <c r="AM166" s="384"/>
      <c r="AN166" s="384"/>
      <c r="AO166" s="397"/>
      <c r="AP166" s="397"/>
      <c r="AQ166" s="414"/>
      <c r="AR166" s="414"/>
      <c r="AS166" s="415"/>
      <c r="AT166" s="415"/>
      <c r="AU166" s="412"/>
      <c r="AV166" s="412"/>
      <c r="AW166" s="413"/>
      <c r="AX166" s="413"/>
      <c r="AY166" s="390"/>
      <c r="AZ166" s="391"/>
      <c r="BA166" s="355"/>
      <c r="BB166" s="495"/>
      <c r="BC166" s="507"/>
      <c r="BD166" s="86"/>
      <c r="BE166" s="86"/>
      <c r="BF166" s="392"/>
    </row>
    <row r="167" spans="1:58" ht="15.75" customHeight="1">
      <c r="A167" s="373"/>
      <c r="B167" s="493"/>
      <c r="C167" s="493"/>
      <c r="D167" s="495" t="s">
        <v>381</v>
      </c>
      <c r="E167" s="396" t="s">
        <v>278</v>
      </c>
      <c r="F167" s="396"/>
      <c r="G167" s="396"/>
      <c r="H167" s="396"/>
      <c r="I167" s="396"/>
      <c r="J167" s="486">
        <v>20</v>
      </c>
      <c r="K167" s="512"/>
      <c r="L167" s="513"/>
      <c r="M167" s="394"/>
      <c r="N167" s="382"/>
      <c r="O167" s="382"/>
      <c r="P167" s="382"/>
      <c r="Q167" s="382"/>
      <c r="R167" s="382"/>
      <c r="S167" s="382"/>
      <c r="T167" s="382"/>
      <c r="U167" s="382"/>
      <c r="V167" s="382"/>
      <c r="W167" s="382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382"/>
      <c r="AK167" s="382"/>
      <c r="AL167" s="383"/>
      <c r="AM167" s="384"/>
      <c r="AN167" s="384"/>
      <c r="AO167" s="397"/>
      <c r="AP167" s="397"/>
      <c r="AQ167" s="414"/>
      <c r="AR167" s="414"/>
      <c r="AS167" s="415"/>
      <c r="AT167" s="415"/>
      <c r="AU167" s="412"/>
      <c r="AV167" s="412"/>
      <c r="AW167" s="413"/>
      <c r="AX167" s="413"/>
      <c r="AY167" s="390"/>
      <c r="AZ167" s="391"/>
      <c r="BA167" s="355"/>
      <c r="BB167" s="495"/>
      <c r="BC167" s="507"/>
      <c r="BD167" s="86"/>
      <c r="BE167" s="86"/>
      <c r="BF167" s="392"/>
    </row>
    <row r="168" spans="1:58" ht="15.75" customHeight="1">
      <c r="A168" s="373"/>
      <c r="B168" s="493"/>
      <c r="C168" s="493"/>
      <c r="D168" s="495" t="s">
        <v>382</v>
      </c>
      <c r="E168" s="396"/>
      <c r="F168" s="396"/>
      <c r="G168" s="396"/>
      <c r="H168" s="396"/>
      <c r="I168" s="396"/>
      <c r="J168" s="486">
        <v>12</v>
      </c>
      <c r="K168" s="512"/>
      <c r="L168" s="513"/>
      <c r="M168" s="394"/>
      <c r="N168" s="382"/>
      <c r="O168" s="382"/>
      <c r="P168" s="382"/>
      <c r="Q168" s="382"/>
      <c r="R168" s="382"/>
      <c r="S168" s="382"/>
      <c r="T168" s="382"/>
      <c r="U168" s="382"/>
      <c r="V168" s="382"/>
      <c r="W168" s="382"/>
      <c r="X168" s="382"/>
      <c r="Y168" s="382"/>
      <c r="Z168" s="382"/>
      <c r="AA168" s="382"/>
      <c r="AB168" s="382"/>
      <c r="AC168" s="382"/>
      <c r="AD168" s="382"/>
      <c r="AE168" s="382"/>
      <c r="AF168" s="382"/>
      <c r="AG168" s="382"/>
      <c r="AH168" s="382"/>
      <c r="AI168" s="382"/>
      <c r="AJ168" s="382"/>
      <c r="AK168" s="382"/>
      <c r="AL168" s="383"/>
      <c r="AM168" s="384"/>
      <c r="AN168" s="384"/>
      <c r="AO168" s="397"/>
      <c r="AP168" s="397"/>
      <c r="AQ168" s="414"/>
      <c r="AR168" s="414"/>
      <c r="AS168" s="415"/>
      <c r="AT168" s="415"/>
      <c r="AU168" s="412"/>
      <c r="AV168" s="412"/>
      <c r="AW168" s="413"/>
      <c r="AX168" s="413"/>
      <c r="AY168" s="390"/>
      <c r="AZ168" s="391"/>
      <c r="BA168" s="355"/>
      <c r="BB168" s="495"/>
      <c r="BC168" s="507"/>
      <c r="BD168" s="86"/>
      <c r="BE168" s="86"/>
      <c r="BF168" s="392"/>
    </row>
    <row r="169" spans="1:58" ht="15.75" customHeight="1">
      <c r="A169" s="373"/>
      <c r="B169" s="493"/>
      <c r="C169" s="493"/>
      <c r="D169" s="514" t="s">
        <v>383</v>
      </c>
      <c r="E169" s="396">
        <v>8.33</v>
      </c>
      <c r="F169" s="396">
        <f>E169*0.71</f>
        <v>5.9143</v>
      </c>
      <c r="G169" s="496">
        <f>F169/E169</f>
        <v>0.71</v>
      </c>
      <c r="H169" s="396">
        <f>E169*1.71</f>
        <v>14.244299999999999</v>
      </c>
      <c r="I169" s="396">
        <f>H169*1.055</f>
        <v>15.027736499999998</v>
      </c>
      <c r="J169" s="486">
        <v>15</v>
      </c>
      <c r="K169" s="512"/>
      <c r="L169" s="513" t="s">
        <v>180</v>
      </c>
      <c r="M169" s="394"/>
      <c r="N169" s="382"/>
      <c r="O169" s="382"/>
      <c r="P169" s="382"/>
      <c r="Q169" s="382"/>
      <c r="R169" s="382"/>
      <c r="S169" s="382"/>
      <c r="T169" s="382"/>
      <c r="U169" s="382"/>
      <c r="V169" s="382"/>
      <c r="W169" s="382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382"/>
      <c r="AK169" s="382"/>
      <c r="AL169" s="383"/>
      <c r="AM169" s="384"/>
      <c r="AN169" s="384"/>
      <c r="AO169" s="397"/>
      <c r="AP169" s="397"/>
      <c r="AQ169" s="414"/>
      <c r="AR169" s="414"/>
      <c r="AS169" s="415"/>
      <c r="AT169" s="415"/>
      <c r="AU169" s="412"/>
      <c r="AV169" s="412"/>
      <c r="AW169" s="413"/>
      <c r="AX169" s="413"/>
      <c r="AY169" s="390"/>
      <c r="AZ169" s="391"/>
      <c r="BA169" s="355"/>
      <c r="BB169" s="495"/>
      <c r="BC169" s="507"/>
      <c r="BD169" s="86"/>
      <c r="BE169" s="86"/>
      <c r="BF169" s="392"/>
    </row>
    <row r="170" spans="1:58" ht="15.75" customHeight="1">
      <c r="A170" s="373"/>
      <c r="B170" s="493" t="s">
        <v>384</v>
      </c>
      <c r="C170" s="493"/>
      <c r="D170" s="515" t="s">
        <v>385</v>
      </c>
      <c r="E170" s="502" t="s">
        <v>168</v>
      </c>
      <c r="F170" s="502"/>
      <c r="G170" s="502"/>
      <c r="H170" s="502"/>
      <c r="I170" s="502"/>
      <c r="J170" s="486">
        <v>29</v>
      </c>
      <c r="K170" s="512"/>
      <c r="L170" s="504" t="s">
        <v>168</v>
      </c>
      <c r="M170" s="394"/>
      <c r="N170" s="382"/>
      <c r="O170" s="382"/>
      <c r="P170" s="382"/>
      <c r="Q170" s="382"/>
      <c r="R170" s="382"/>
      <c r="S170" s="382"/>
      <c r="T170" s="382"/>
      <c r="U170" s="382"/>
      <c r="V170" s="382"/>
      <c r="W170" s="382"/>
      <c r="X170" s="382"/>
      <c r="Y170" s="382"/>
      <c r="Z170" s="382"/>
      <c r="AA170" s="382"/>
      <c r="AB170" s="382"/>
      <c r="AC170" s="382"/>
      <c r="AD170" s="382"/>
      <c r="AE170" s="382"/>
      <c r="AF170" s="382"/>
      <c r="AG170" s="382"/>
      <c r="AH170" s="382"/>
      <c r="AI170" s="382"/>
      <c r="AJ170" s="382"/>
      <c r="AK170" s="382"/>
      <c r="AL170" s="383"/>
      <c r="AM170" s="384"/>
      <c r="AN170" s="384"/>
      <c r="AO170" s="397"/>
      <c r="AP170" s="397"/>
      <c r="AQ170" s="414"/>
      <c r="AR170" s="414"/>
      <c r="AS170" s="415"/>
      <c r="AT170" s="415"/>
      <c r="AU170" s="412"/>
      <c r="AV170" s="412"/>
      <c r="AW170" s="413"/>
      <c r="AX170" s="413"/>
      <c r="AY170" s="390"/>
      <c r="AZ170" s="391"/>
      <c r="BA170" s="355"/>
      <c r="BB170" s="495"/>
      <c r="BC170" s="507"/>
      <c r="BD170" s="86"/>
      <c r="BE170" s="86"/>
      <c r="BF170" s="392"/>
    </row>
    <row r="171" spans="1:58" ht="28.5" customHeight="1">
      <c r="A171" s="373"/>
      <c r="B171" s="493" t="s">
        <v>386</v>
      </c>
      <c r="C171" s="493"/>
      <c r="D171" s="515" t="s">
        <v>387</v>
      </c>
      <c r="E171" s="502" t="s">
        <v>168</v>
      </c>
      <c r="F171" s="502"/>
      <c r="G171" s="502"/>
      <c r="H171" s="516">
        <v>14.4</v>
      </c>
      <c r="I171" s="516"/>
      <c r="J171" s="486">
        <v>18</v>
      </c>
      <c r="K171" s="499" t="s">
        <v>144</v>
      </c>
      <c r="L171" s="504" t="s">
        <v>168</v>
      </c>
      <c r="M171" s="394"/>
      <c r="N171" s="382"/>
      <c r="O171" s="382"/>
      <c r="P171" s="382"/>
      <c r="Q171" s="382"/>
      <c r="R171" s="382"/>
      <c r="S171" s="382"/>
      <c r="T171" s="382"/>
      <c r="U171" s="382"/>
      <c r="V171" s="382"/>
      <c r="W171" s="382"/>
      <c r="X171" s="382"/>
      <c r="Y171" s="382"/>
      <c r="Z171" s="382"/>
      <c r="AA171" s="382"/>
      <c r="AB171" s="382"/>
      <c r="AC171" s="382"/>
      <c r="AD171" s="382"/>
      <c r="AE171" s="382"/>
      <c r="AF171" s="382"/>
      <c r="AG171" s="382"/>
      <c r="AH171" s="382"/>
      <c r="AI171" s="382"/>
      <c r="AJ171" s="382"/>
      <c r="AK171" s="382"/>
      <c r="AL171" s="383"/>
      <c r="AM171" s="384"/>
      <c r="AN171" s="384"/>
      <c r="AO171" s="397"/>
      <c r="AP171" s="397"/>
      <c r="AQ171" s="414"/>
      <c r="AR171" s="414"/>
      <c r="AS171" s="415"/>
      <c r="AT171" s="415"/>
      <c r="AU171" s="412"/>
      <c r="AV171" s="412"/>
      <c r="AW171" s="413"/>
      <c r="AX171" s="413"/>
      <c r="AY171" s="390"/>
      <c r="AZ171" s="391"/>
      <c r="BA171" s="355"/>
      <c r="BB171" s="495"/>
      <c r="BC171" s="507"/>
      <c r="BD171" s="86"/>
      <c r="BE171" s="86"/>
      <c r="BF171" s="392"/>
    </row>
    <row r="172" spans="1:58" ht="15.75" customHeight="1">
      <c r="A172" s="373"/>
      <c r="B172" s="493"/>
      <c r="C172" s="493"/>
      <c r="D172" s="451" t="s">
        <v>388</v>
      </c>
      <c r="E172" s="517">
        <v>36.97</v>
      </c>
      <c r="F172" s="396">
        <f>E172*0.25</f>
        <v>9.2425</v>
      </c>
      <c r="G172" s="496">
        <f aca="true" t="shared" si="88" ref="G172:G174">F172/E172</f>
        <v>0.25</v>
      </c>
      <c r="H172" s="396">
        <f>E172*1.25</f>
        <v>46.2125</v>
      </c>
      <c r="I172" s="396">
        <f aca="true" t="shared" si="89" ref="I172:I174">H172*1.055</f>
        <v>48.75418749999999</v>
      </c>
      <c r="J172" s="378">
        <v>49</v>
      </c>
      <c r="K172" s="508">
        <v>0.055</v>
      </c>
      <c r="L172" s="380" t="s">
        <v>180</v>
      </c>
      <c r="M172" s="394"/>
      <c r="N172" s="382"/>
      <c r="O172" s="382"/>
      <c r="P172" s="382"/>
      <c r="Q172" s="382"/>
      <c r="R172" s="382"/>
      <c r="S172" s="382"/>
      <c r="T172" s="382"/>
      <c r="U172" s="382"/>
      <c r="V172" s="382"/>
      <c r="W172" s="382"/>
      <c r="X172" s="382"/>
      <c r="Y172" s="382"/>
      <c r="Z172" s="382"/>
      <c r="AA172" s="382"/>
      <c r="AB172" s="382"/>
      <c r="AC172" s="382"/>
      <c r="AD172" s="382"/>
      <c r="AE172" s="382"/>
      <c r="AF172" s="382"/>
      <c r="AG172" s="382"/>
      <c r="AH172" s="382"/>
      <c r="AI172" s="382"/>
      <c r="AJ172" s="382"/>
      <c r="AK172" s="382"/>
      <c r="AL172" s="383"/>
      <c r="AM172" s="384"/>
      <c r="AN172" s="384"/>
      <c r="AO172" s="397"/>
      <c r="AP172" s="397"/>
      <c r="AQ172" s="414"/>
      <c r="AR172" s="414"/>
      <c r="AS172" s="415"/>
      <c r="AT172" s="415"/>
      <c r="AU172" s="412"/>
      <c r="AV172" s="412"/>
      <c r="AW172" s="413"/>
      <c r="AX172" s="413"/>
      <c r="AY172" s="390"/>
      <c r="AZ172" s="391"/>
      <c r="BA172" s="355"/>
      <c r="BB172" s="495"/>
      <c r="BC172" s="507"/>
      <c r="BD172" s="86"/>
      <c r="BE172" s="86"/>
      <c r="BF172" s="392"/>
    </row>
    <row r="173" spans="1:58" ht="15.75" customHeight="1">
      <c r="A173" s="373"/>
      <c r="B173" s="493" t="s">
        <v>384</v>
      </c>
      <c r="C173" s="493"/>
      <c r="D173" s="451" t="s">
        <v>389</v>
      </c>
      <c r="E173" s="517">
        <v>9</v>
      </c>
      <c r="F173" s="396">
        <f>E173*0.58</f>
        <v>5.22</v>
      </c>
      <c r="G173" s="496">
        <f t="shared" si="88"/>
        <v>0.58</v>
      </c>
      <c r="H173" s="396">
        <f>E173*1.58</f>
        <v>14.22</v>
      </c>
      <c r="I173" s="396">
        <f t="shared" si="89"/>
        <v>15.0021</v>
      </c>
      <c r="J173" s="378">
        <v>15</v>
      </c>
      <c r="K173" s="508"/>
      <c r="L173" s="380" t="s">
        <v>180</v>
      </c>
      <c r="M173" s="394"/>
      <c r="N173" s="382"/>
      <c r="O173" s="382"/>
      <c r="P173" s="382"/>
      <c r="Q173" s="382"/>
      <c r="R173" s="382"/>
      <c r="S173" s="382"/>
      <c r="T173" s="382"/>
      <c r="U173" s="382"/>
      <c r="V173" s="382"/>
      <c r="W173" s="382"/>
      <c r="X173" s="382"/>
      <c r="Y173" s="382"/>
      <c r="Z173" s="382"/>
      <c r="AA173" s="382"/>
      <c r="AB173" s="382"/>
      <c r="AC173" s="382"/>
      <c r="AD173" s="382"/>
      <c r="AE173" s="382"/>
      <c r="AF173" s="382"/>
      <c r="AG173" s="382"/>
      <c r="AH173" s="382"/>
      <c r="AI173" s="382"/>
      <c r="AJ173" s="382"/>
      <c r="AK173" s="382"/>
      <c r="AL173" s="383"/>
      <c r="AM173" s="384"/>
      <c r="AN173" s="384"/>
      <c r="AO173" s="397"/>
      <c r="AP173" s="397"/>
      <c r="AQ173" s="414"/>
      <c r="AR173" s="414"/>
      <c r="AS173" s="415"/>
      <c r="AT173" s="415"/>
      <c r="AU173" s="412"/>
      <c r="AV173" s="412"/>
      <c r="AW173" s="413"/>
      <c r="AX173" s="413"/>
      <c r="AY173" s="390"/>
      <c r="AZ173" s="391"/>
      <c r="BA173" s="355"/>
      <c r="BB173" s="495"/>
      <c r="BC173" s="507"/>
      <c r="BD173" s="86"/>
      <c r="BE173" s="86"/>
      <c r="BF173" s="392"/>
    </row>
    <row r="174" spans="1:58" ht="15.75" customHeight="1">
      <c r="A174" s="373"/>
      <c r="B174" s="493" t="s">
        <v>384</v>
      </c>
      <c r="C174" s="493"/>
      <c r="D174" s="453" t="s">
        <v>390</v>
      </c>
      <c r="E174" s="518">
        <v>2</v>
      </c>
      <c r="F174" s="396">
        <f>E174*0.85</f>
        <v>1.7</v>
      </c>
      <c r="G174" s="496">
        <f t="shared" si="88"/>
        <v>0.85</v>
      </c>
      <c r="H174" s="396">
        <f>E174*1.85</f>
        <v>3.7</v>
      </c>
      <c r="I174" s="396">
        <f t="shared" si="89"/>
        <v>3.9034999999999997</v>
      </c>
      <c r="J174" s="456">
        <v>3.9</v>
      </c>
      <c r="K174" s="508"/>
      <c r="L174" s="457" t="s">
        <v>180</v>
      </c>
      <c r="M174" s="394"/>
      <c r="N174" s="382"/>
      <c r="O174" s="382"/>
      <c r="P174" s="382"/>
      <c r="Q174" s="382"/>
      <c r="R174" s="382"/>
      <c r="S174" s="382"/>
      <c r="T174" s="382"/>
      <c r="U174" s="382"/>
      <c r="V174" s="382"/>
      <c r="W174" s="382"/>
      <c r="X174" s="382"/>
      <c r="Y174" s="382"/>
      <c r="Z174" s="382"/>
      <c r="AA174" s="382"/>
      <c r="AB174" s="382"/>
      <c r="AC174" s="382"/>
      <c r="AD174" s="382"/>
      <c r="AE174" s="382"/>
      <c r="AF174" s="382"/>
      <c r="AG174" s="382"/>
      <c r="AH174" s="382"/>
      <c r="AI174" s="382"/>
      <c r="AJ174" s="382"/>
      <c r="AK174" s="382"/>
      <c r="AL174" s="383"/>
      <c r="AM174" s="384"/>
      <c r="AN174" s="384"/>
      <c r="AO174" s="397"/>
      <c r="AP174" s="397"/>
      <c r="AQ174" s="414"/>
      <c r="AR174" s="414"/>
      <c r="AS174" s="415"/>
      <c r="AT174" s="415"/>
      <c r="AU174" s="412"/>
      <c r="AV174" s="412"/>
      <c r="AW174" s="413"/>
      <c r="AX174" s="413"/>
      <c r="AY174" s="390"/>
      <c r="AZ174" s="391"/>
      <c r="BA174" s="355"/>
      <c r="BB174" s="495"/>
      <c r="BC174" s="507"/>
      <c r="BD174" s="86"/>
      <c r="BE174" s="86"/>
      <c r="BF174" s="392"/>
    </row>
    <row r="175" spans="1:58" ht="15.75" customHeight="1">
      <c r="A175" s="373"/>
      <c r="B175" s="493" t="s">
        <v>40</v>
      </c>
      <c r="C175" s="493"/>
      <c r="D175" s="451" t="s">
        <v>391</v>
      </c>
      <c r="E175" s="396"/>
      <c r="F175" s="396">
        <v>27.85</v>
      </c>
      <c r="G175" s="396" t="s">
        <v>375</v>
      </c>
      <c r="H175" s="396"/>
      <c r="I175" s="396"/>
      <c r="J175" s="378">
        <v>39.9</v>
      </c>
      <c r="K175" s="508"/>
      <c r="L175" s="519" t="s">
        <v>180</v>
      </c>
      <c r="M175" s="394"/>
      <c r="N175" s="382"/>
      <c r="O175" s="382"/>
      <c r="P175" s="382"/>
      <c r="Q175" s="382"/>
      <c r="R175" s="382"/>
      <c r="S175" s="382"/>
      <c r="T175" s="382"/>
      <c r="U175" s="382"/>
      <c r="V175" s="382"/>
      <c r="W175" s="382"/>
      <c r="X175" s="382"/>
      <c r="Y175" s="382"/>
      <c r="Z175" s="382"/>
      <c r="AA175" s="382"/>
      <c r="AB175" s="382"/>
      <c r="AC175" s="382"/>
      <c r="AD175" s="382"/>
      <c r="AE175" s="382"/>
      <c r="AF175" s="382"/>
      <c r="AG175" s="382"/>
      <c r="AH175" s="382"/>
      <c r="AI175" s="382"/>
      <c r="AJ175" s="382"/>
      <c r="AK175" s="382"/>
      <c r="AL175" s="383"/>
      <c r="AM175" s="384"/>
      <c r="AN175" s="384"/>
      <c r="AO175" s="397"/>
      <c r="AP175" s="397"/>
      <c r="AQ175" s="414"/>
      <c r="AR175" s="414"/>
      <c r="AS175" s="415"/>
      <c r="AT175" s="415"/>
      <c r="AU175" s="412"/>
      <c r="AV175" s="412"/>
      <c r="AW175" s="413"/>
      <c r="AX175" s="413"/>
      <c r="AY175" s="390"/>
      <c r="AZ175" s="391"/>
      <c r="BA175" s="355"/>
      <c r="BB175" s="495"/>
      <c r="BC175" s="507"/>
      <c r="BD175" s="86"/>
      <c r="BE175" s="86"/>
      <c r="BF175" s="392"/>
    </row>
    <row r="176" spans="1:58" ht="15.75" customHeight="1">
      <c r="A176" s="373"/>
      <c r="B176" s="493" t="s">
        <v>392</v>
      </c>
      <c r="C176" s="493"/>
      <c r="D176" s="439" t="s">
        <v>393</v>
      </c>
      <c r="E176" s="396">
        <v>13.94</v>
      </c>
      <c r="F176" s="396">
        <f>E176*0.4</f>
        <v>5.5760000000000005</v>
      </c>
      <c r="G176" s="496">
        <f aca="true" t="shared" si="90" ref="G176:G180">F176/E176</f>
        <v>0.4000000000000001</v>
      </c>
      <c r="H176" s="396">
        <f>E176*1.4</f>
        <v>19.516</v>
      </c>
      <c r="I176" s="396">
        <f aca="true" t="shared" si="91" ref="I176:I178">H176*1.055</f>
        <v>20.58938</v>
      </c>
      <c r="J176" s="378">
        <v>21</v>
      </c>
      <c r="K176" s="508"/>
      <c r="L176" s="380"/>
      <c r="M176" s="394"/>
      <c r="N176" s="382"/>
      <c r="O176" s="382"/>
      <c r="P176" s="382"/>
      <c r="Q176" s="382"/>
      <c r="R176" s="382"/>
      <c r="S176" s="382"/>
      <c r="T176" s="382"/>
      <c r="U176" s="382"/>
      <c r="V176" s="382"/>
      <c r="W176" s="382"/>
      <c r="X176" s="382"/>
      <c r="Y176" s="382"/>
      <c r="Z176" s="382"/>
      <c r="AA176" s="382"/>
      <c r="AB176" s="382"/>
      <c r="AC176" s="382"/>
      <c r="AD176" s="382"/>
      <c r="AE176" s="382"/>
      <c r="AF176" s="382"/>
      <c r="AG176" s="382"/>
      <c r="AH176" s="382"/>
      <c r="AI176" s="382"/>
      <c r="AJ176" s="382"/>
      <c r="AK176" s="382"/>
      <c r="AL176" s="383"/>
      <c r="AM176" s="384"/>
      <c r="AN176" s="384"/>
      <c r="AO176" s="397"/>
      <c r="AP176" s="397"/>
      <c r="AQ176" s="414"/>
      <c r="AR176" s="414"/>
      <c r="AS176" s="415"/>
      <c r="AT176" s="415"/>
      <c r="AU176" s="412"/>
      <c r="AV176" s="412"/>
      <c r="AW176" s="413"/>
      <c r="AX176" s="413"/>
      <c r="AY176" s="390"/>
      <c r="AZ176" s="391"/>
      <c r="BA176" s="355"/>
      <c r="BB176" s="495"/>
      <c r="BC176" s="507"/>
      <c r="BD176" s="86"/>
      <c r="BE176" s="86"/>
      <c r="BF176" s="392"/>
    </row>
    <row r="177" spans="1:58" ht="15.75" customHeight="1">
      <c r="A177" s="373"/>
      <c r="B177" s="493"/>
      <c r="C177" s="493"/>
      <c r="D177" s="439" t="s">
        <v>394</v>
      </c>
      <c r="E177" s="396">
        <v>2.99</v>
      </c>
      <c r="F177" s="396">
        <f>E177*0.58</f>
        <v>1.7342</v>
      </c>
      <c r="G177" s="496">
        <f t="shared" si="90"/>
        <v>0.58</v>
      </c>
      <c r="H177" s="396">
        <f>E177*1.58</f>
        <v>4.724200000000001</v>
      </c>
      <c r="I177" s="396">
        <f t="shared" si="91"/>
        <v>4.984031000000001</v>
      </c>
      <c r="J177" s="378">
        <v>4.99</v>
      </c>
      <c r="K177" s="409">
        <v>0.055</v>
      </c>
      <c r="L177" s="380"/>
      <c r="M177" s="394"/>
      <c r="N177" s="382"/>
      <c r="O177" s="382"/>
      <c r="P177" s="382"/>
      <c r="Q177" s="382"/>
      <c r="R177" s="382"/>
      <c r="S177" s="382"/>
      <c r="T177" s="382"/>
      <c r="U177" s="382"/>
      <c r="V177" s="382"/>
      <c r="W177" s="382"/>
      <c r="X177" s="382"/>
      <c r="Y177" s="382"/>
      <c r="Z177" s="382"/>
      <c r="AA177" s="382"/>
      <c r="AB177" s="382"/>
      <c r="AC177" s="382"/>
      <c r="AD177" s="382"/>
      <c r="AE177" s="382"/>
      <c r="AF177" s="382"/>
      <c r="AG177" s="382"/>
      <c r="AH177" s="382"/>
      <c r="AI177" s="382"/>
      <c r="AJ177" s="382"/>
      <c r="AK177" s="382"/>
      <c r="AL177" s="383"/>
      <c r="AM177" s="384"/>
      <c r="AN177" s="384"/>
      <c r="AO177" s="397"/>
      <c r="AP177" s="397"/>
      <c r="AQ177" s="414"/>
      <c r="AR177" s="414"/>
      <c r="AS177" s="415"/>
      <c r="AT177" s="415"/>
      <c r="AU177" s="412"/>
      <c r="AV177" s="412"/>
      <c r="AW177" s="413"/>
      <c r="AX177" s="413"/>
      <c r="AY177" s="390"/>
      <c r="AZ177" s="391"/>
      <c r="BA177" s="355"/>
      <c r="BB177" s="495"/>
      <c r="BC177" s="507"/>
      <c r="BD177" s="86"/>
      <c r="BE177" s="86"/>
      <c r="BF177" s="392"/>
    </row>
    <row r="178" spans="1:58" ht="15.75" customHeight="1">
      <c r="A178" s="373"/>
      <c r="B178" s="493"/>
      <c r="C178" s="493"/>
      <c r="D178" s="439" t="s">
        <v>395</v>
      </c>
      <c r="E178" s="396">
        <v>4.15</v>
      </c>
      <c r="F178" s="396">
        <f>E178*0.6</f>
        <v>2.49</v>
      </c>
      <c r="G178" s="496">
        <f t="shared" si="90"/>
        <v>0.6</v>
      </c>
      <c r="H178" s="396">
        <f>E178*1.6</f>
        <v>6.640000000000001</v>
      </c>
      <c r="I178" s="396">
        <f t="shared" si="91"/>
        <v>7.0052</v>
      </c>
      <c r="J178" s="378">
        <v>7</v>
      </c>
      <c r="K178" s="409"/>
      <c r="L178" s="380"/>
      <c r="M178" s="394"/>
      <c r="N178" s="382"/>
      <c r="O178" s="382"/>
      <c r="P178" s="382"/>
      <c r="Q178" s="382"/>
      <c r="R178" s="382"/>
      <c r="S178" s="382"/>
      <c r="T178" s="382"/>
      <c r="U178" s="382"/>
      <c r="V178" s="382"/>
      <c r="W178" s="382"/>
      <c r="X178" s="382"/>
      <c r="Y178" s="382"/>
      <c r="Z178" s="382"/>
      <c r="AA178" s="382"/>
      <c r="AB178" s="382"/>
      <c r="AC178" s="382"/>
      <c r="AD178" s="382"/>
      <c r="AE178" s="382"/>
      <c r="AF178" s="382"/>
      <c r="AG178" s="382"/>
      <c r="AH178" s="382"/>
      <c r="AI178" s="382"/>
      <c r="AJ178" s="382"/>
      <c r="AK178" s="382"/>
      <c r="AL178" s="383"/>
      <c r="AM178" s="384"/>
      <c r="AN178" s="384"/>
      <c r="AO178" s="397"/>
      <c r="AP178" s="397"/>
      <c r="AQ178" s="414"/>
      <c r="AR178" s="414"/>
      <c r="AS178" s="415"/>
      <c r="AT178" s="415"/>
      <c r="AU178" s="412"/>
      <c r="AV178" s="412"/>
      <c r="AW178" s="413"/>
      <c r="AX178" s="413"/>
      <c r="AY178" s="390"/>
      <c r="AZ178" s="391"/>
      <c r="BA178" s="355"/>
      <c r="BB178" s="495"/>
      <c r="BC178" s="507"/>
      <c r="BD178" s="86"/>
      <c r="BE178" s="86"/>
      <c r="BF178" s="392"/>
    </row>
    <row r="179" spans="1:58" ht="15.75" customHeight="1">
      <c r="A179" s="373"/>
      <c r="B179" s="493"/>
      <c r="C179" s="493"/>
      <c r="D179" s="439" t="s">
        <v>396</v>
      </c>
      <c r="E179" s="377">
        <v>1.5</v>
      </c>
      <c r="F179" s="377">
        <f>E179*0.95</f>
        <v>1.4249999999999998</v>
      </c>
      <c r="G179" s="379">
        <f t="shared" si="90"/>
        <v>0.9499999999999998</v>
      </c>
      <c r="H179" s="377">
        <f>E179*1.95</f>
        <v>2.925</v>
      </c>
      <c r="I179" s="377">
        <f aca="true" t="shared" si="92" ref="I179:I180">H179*1.2</f>
        <v>3.51</v>
      </c>
      <c r="J179" s="378">
        <v>3.5</v>
      </c>
      <c r="K179" s="379">
        <v>0.2</v>
      </c>
      <c r="L179" s="380"/>
      <c r="M179" s="394"/>
      <c r="N179" s="382"/>
      <c r="O179" s="382"/>
      <c r="P179" s="382"/>
      <c r="Q179" s="382"/>
      <c r="R179" s="382"/>
      <c r="S179" s="382"/>
      <c r="T179" s="382"/>
      <c r="U179" s="382"/>
      <c r="V179" s="382"/>
      <c r="W179" s="382"/>
      <c r="X179" s="382"/>
      <c r="Y179" s="382"/>
      <c r="Z179" s="382"/>
      <c r="AA179" s="382"/>
      <c r="AB179" s="382"/>
      <c r="AC179" s="382"/>
      <c r="AD179" s="382"/>
      <c r="AE179" s="382"/>
      <c r="AF179" s="382"/>
      <c r="AG179" s="382"/>
      <c r="AH179" s="382"/>
      <c r="AI179" s="382"/>
      <c r="AJ179" s="382"/>
      <c r="AK179" s="382"/>
      <c r="AL179" s="383"/>
      <c r="AM179" s="384"/>
      <c r="AN179" s="384"/>
      <c r="AO179" s="397"/>
      <c r="AP179" s="397"/>
      <c r="AQ179" s="414"/>
      <c r="AR179" s="414"/>
      <c r="AS179" s="415"/>
      <c r="AT179" s="415"/>
      <c r="AU179" s="412"/>
      <c r="AV179" s="412"/>
      <c r="AW179" s="413"/>
      <c r="AX179" s="413"/>
      <c r="AY179" s="390"/>
      <c r="AZ179" s="391"/>
      <c r="BA179" s="355"/>
      <c r="BB179" s="495"/>
      <c r="BC179" s="507"/>
      <c r="BD179" s="86"/>
      <c r="BE179" s="86"/>
      <c r="BF179" s="392"/>
    </row>
    <row r="180" spans="1:58" ht="15.75" customHeight="1">
      <c r="A180" s="373"/>
      <c r="B180" s="493"/>
      <c r="C180" s="493"/>
      <c r="D180" s="439" t="s">
        <v>397</v>
      </c>
      <c r="E180" s="377">
        <f>129.49/24</f>
        <v>5.395416666666667</v>
      </c>
      <c r="F180" s="377">
        <f>E180*0.27</f>
        <v>1.4567625000000002</v>
      </c>
      <c r="G180" s="379">
        <f t="shared" si="90"/>
        <v>0.27</v>
      </c>
      <c r="H180" s="377">
        <f>E180*1.27</f>
        <v>6.852179166666667</v>
      </c>
      <c r="I180" s="377">
        <f t="shared" si="92"/>
        <v>8.222615</v>
      </c>
      <c r="J180" s="378">
        <v>8.2</v>
      </c>
      <c r="K180" s="379">
        <v>0.2</v>
      </c>
      <c r="L180" s="380"/>
      <c r="M180" s="394"/>
      <c r="N180" s="382"/>
      <c r="O180" s="382"/>
      <c r="P180" s="382"/>
      <c r="Q180" s="382"/>
      <c r="R180" s="382"/>
      <c r="S180" s="382"/>
      <c r="T180" s="382"/>
      <c r="U180" s="382"/>
      <c r="V180" s="382"/>
      <c r="W180" s="382"/>
      <c r="X180" s="382"/>
      <c r="Y180" s="382"/>
      <c r="Z180" s="382"/>
      <c r="AA180" s="382"/>
      <c r="AB180" s="382"/>
      <c r="AC180" s="382"/>
      <c r="AD180" s="382"/>
      <c r="AE180" s="382"/>
      <c r="AF180" s="382"/>
      <c r="AG180" s="382"/>
      <c r="AH180" s="382"/>
      <c r="AI180" s="382"/>
      <c r="AJ180" s="382"/>
      <c r="AK180" s="382"/>
      <c r="AL180" s="383"/>
      <c r="AM180" s="384"/>
      <c r="AN180" s="384"/>
      <c r="AO180" s="397"/>
      <c r="AP180" s="397"/>
      <c r="AQ180" s="414"/>
      <c r="AR180" s="414"/>
      <c r="AS180" s="415"/>
      <c r="AT180" s="415"/>
      <c r="AU180" s="412"/>
      <c r="AV180" s="412"/>
      <c r="AW180" s="413"/>
      <c r="AX180" s="413"/>
      <c r="AY180" s="390"/>
      <c r="AZ180" s="391"/>
      <c r="BA180" s="355"/>
      <c r="BB180" s="495"/>
      <c r="BC180" s="507"/>
      <c r="BD180" s="86"/>
      <c r="BE180" s="86"/>
      <c r="BF180" s="392"/>
    </row>
    <row r="181" spans="1:58" ht="15.75" customHeight="1">
      <c r="A181" s="373"/>
      <c r="B181" s="493"/>
      <c r="C181" s="493"/>
      <c r="D181" s="520" t="s">
        <v>398</v>
      </c>
      <c r="E181" s="504"/>
      <c r="F181" s="504">
        <f>120/8</f>
        <v>15</v>
      </c>
      <c r="G181" s="504"/>
      <c r="H181" s="504"/>
      <c r="I181" s="504"/>
      <c r="J181" s="504">
        <v>20</v>
      </c>
      <c r="K181" s="409">
        <v>0.055</v>
      </c>
      <c r="L181" s="504" t="s">
        <v>168</v>
      </c>
      <c r="M181" s="394"/>
      <c r="N181" s="382"/>
      <c r="O181" s="382"/>
      <c r="P181" s="382"/>
      <c r="Q181" s="382"/>
      <c r="R181" s="382"/>
      <c r="S181" s="382"/>
      <c r="T181" s="382"/>
      <c r="U181" s="382"/>
      <c r="V181" s="382"/>
      <c r="W181" s="382"/>
      <c r="X181" s="382"/>
      <c r="Y181" s="382"/>
      <c r="Z181" s="382"/>
      <c r="AA181" s="382"/>
      <c r="AB181" s="382"/>
      <c r="AC181" s="382"/>
      <c r="AD181" s="382"/>
      <c r="AE181" s="382"/>
      <c r="AF181" s="382"/>
      <c r="AG181" s="382"/>
      <c r="AH181" s="382"/>
      <c r="AI181" s="382"/>
      <c r="AJ181" s="382"/>
      <c r="AK181" s="382"/>
      <c r="AL181" s="383"/>
      <c r="AM181" s="384"/>
      <c r="AN181" s="384"/>
      <c r="AO181" s="397"/>
      <c r="AP181" s="397"/>
      <c r="AQ181" s="414"/>
      <c r="AR181" s="414"/>
      <c r="AS181" s="415"/>
      <c r="AT181" s="415"/>
      <c r="AU181" s="412"/>
      <c r="AV181" s="412"/>
      <c r="AW181" s="413"/>
      <c r="AX181" s="413"/>
      <c r="AY181" s="390"/>
      <c r="AZ181" s="391"/>
      <c r="BA181" s="355"/>
      <c r="BB181" s="495"/>
      <c r="BC181" s="507"/>
      <c r="BD181" s="86"/>
      <c r="BE181" s="86"/>
      <c r="BF181" s="392"/>
    </row>
    <row r="182" spans="1:58" ht="15.75" customHeight="1">
      <c r="A182" s="373"/>
      <c r="B182" s="493"/>
      <c r="C182" s="493"/>
      <c r="D182" s="439" t="s">
        <v>399</v>
      </c>
      <c r="E182" s="396">
        <v>28.035</v>
      </c>
      <c r="F182" s="396">
        <f>E182*0.28</f>
        <v>7.849800000000001</v>
      </c>
      <c r="G182" s="496">
        <f aca="true" t="shared" si="93" ref="G182:G189">F182/E182</f>
        <v>0.28</v>
      </c>
      <c r="H182" s="396">
        <f>E182*1.28</f>
        <v>35.8848</v>
      </c>
      <c r="I182" s="396">
        <f>H182*1.055</f>
        <v>37.858464</v>
      </c>
      <c r="J182" s="378">
        <v>38</v>
      </c>
      <c r="K182" s="409">
        <v>0.055</v>
      </c>
      <c r="L182" s="380" t="s">
        <v>180</v>
      </c>
      <c r="M182" s="394"/>
      <c r="N182" s="382"/>
      <c r="O182" s="382"/>
      <c r="P182" s="382"/>
      <c r="Q182" s="382"/>
      <c r="R182" s="382"/>
      <c r="S182" s="382"/>
      <c r="T182" s="382"/>
      <c r="U182" s="382"/>
      <c r="V182" s="382"/>
      <c r="W182" s="382"/>
      <c r="X182" s="382"/>
      <c r="Y182" s="382"/>
      <c r="Z182" s="382"/>
      <c r="AA182" s="382"/>
      <c r="AB182" s="382"/>
      <c r="AC182" s="382"/>
      <c r="AD182" s="382"/>
      <c r="AE182" s="382"/>
      <c r="AF182" s="382"/>
      <c r="AG182" s="382"/>
      <c r="AH182" s="382"/>
      <c r="AI182" s="382"/>
      <c r="AJ182" s="382"/>
      <c r="AK182" s="382"/>
      <c r="AL182" s="383"/>
      <c r="AM182" s="384"/>
      <c r="AN182" s="384"/>
      <c r="AO182" s="397"/>
      <c r="AP182" s="397"/>
      <c r="AQ182" s="414"/>
      <c r="AR182" s="414"/>
      <c r="AS182" s="415"/>
      <c r="AT182" s="415"/>
      <c r="AU182" s="412"/>
      <c r="AV182" s="412"/>
      <c r="AW182" s="413"/>
      <c r="AX182" s="413"/>
      <c r="AY182" s="390"/>
      <c r="AZ182" s="391"/>
      <c r="BA182" s="355"/>
      <c r="BB182" s="495"/>
      <c r="BC182" s="507"/>
      <c r="BD182" s="86"/>
      <c r="BE182" s="86"/>
      <c r="BF182" s="392"/>
    </row>
    <row r="183" spans="1:59" ht="15" customHeight="1">
      <c r="A183" s="521" t="s">
        <v>400</v>
      </c>
      <c r="B183" s="493" t="s">
        <v>401</v>
      </c>
      <c r="C183" s="493"/>
      <c r="D183" s="495" t="s">
        <v>402</v>
      </c>
      <c r="E183" s="522">
        <v>14</v>
      </c>
      <c r="F183" s="522">
        <f>E183*0.25</f>
        <v>3.5</v>
      </c>
      <c r="G183" s="523">
        <f t="shared" si="93"/>
        <v>0.25</v>
      </c>
      <c r="H183" s="522">
        <f>E183*1.25</f>
        <v>17.5</v>
      </c>
      <c r="I183" s="522">
        <f aca="true" t="shared" si="94" ref="I183:I189">H183*1.1</f>
        <v>19.25</v>
      </c>
      <c r="J183" s="378">
        <v>19.3</v>
      </c>
      <c r="K183" s="524">
        <v>0.1</v>
      </c>
      <c r="L183" s="380"/>
      <c r="M183" s="394"/>
      <c r="N183" s="382"/>
      <c r="O183" s="382"/>
      <c r="P183" s="382"/>
      <c r="Q183" s="382"/>
      <c r="R183" s="382"/>
      <c r="S183" s="382"/>
      <c r="T183" s="382"/>
      <c r="U183" s="382"/>
      <c r="V183" s="382"/>
      <c r="W183" s="382"/>
      <c r="X183" s="382"/>
      <c r="Y183" s="382"/>
      <c r="Z183" s="382"/>
      <c r="AA183" s="382"/>
      <c r="AB183" s="382"/>
      <c r="AC183" s="382"/>
      <c r="AD183" s="382"/>
      <c r="AE183" s="382"/>
      <c r="AF183" s="382"/>
      <c r="AG183" s="382"/>
      <c r="AH183" s="382"/>
      <c r="AI183" s="382"/>
      <c r="AJ183" s="382"/>
      <c r="AK183" s="382"/>
      <c r="AL183" s="383"/>
      <c r="AM183" s="384"/>
      <c r="AN183" s="384"/>
      <c r="AO183" s="397"/>
      <c r="AP183" s="397"/>
      <c r="AQ183" s="410"/>
      <c r="AR183" s="410"/>
      <c r="AS183" s="415"/>
      <c r="AT183" s="415"/>
      <c r="AU183" s="412"/>
      <c r="AV183" s="412"/>
      <c r="AW183" s="413"/>
      <c r="AX183" s="413"/>
      <c r="AY183" s="390"/>
      <c r="AZ183" s="391"/>
      <c r="BA183" s="355"/>
      <c r="BB183" s="495" t="s">
        <v>402</v>
      </c>
      <c r="BC183" s="495"/>
      <c r="BD183" s="86">
        <f aca="true" t="shared" si="95" ref="BD183:BD186">M183+O183+Q183+S183+U183+W183+Y183+AA183+AC183+AE183+AG183+AI183+AK183</f>
        <v>0</v>
      </c>
      <c r="BE183" s="86">
        <f aca="true" t="shared" si="96" ref="BE183:BE186">AY183</f>
        <v>0</v>
      </c>
      <c r="BF183" s="392">
        <f aca="true" t="shared" si="97" ref="BF183:BF186">(BC183+BD183)-AY183</f>
        <v>0</v>
      </c>
      <c r="BG183">
        <f aca="true" t="shared" si="98" ref="BG183:BG186">IF(BF183&gt;=6,"Ok","Commande")</f>
        <v>0</v>
      </c>
    </row>
    <row r="184" spans="1:59" ht="15.75" customHeight="1">
      <c r="A184" s="521"/>
      <c r="B184" s="493"/>
      <c r="C184" s="493"/>
      <c r="D184" s="495" t="s">
        <v>403</v>
      </c>
      <c r="E184" s="522">
        <v>11.14</v>
      </c>
      <c r="F184" s="522">
        <f>E184*0.34</f>
        <v>3.7876000000000003</v>
      </c>
      <c r="G184" s="523">
        <f t="shared" si="93"/>
        <v>0.34</v>
      </c>
      <c r="H184" s="522">
        <f>E184*1.34</f>
        <v>14.927600000000002</v>
      </c>
      <c r="I184" s="522">
        <f t="shared" si="94"/>
        <v>16.420360000000002</v>
      </c>
      <c r="J184" s="378">
        <v>16.5</v>
      </c>
      <c r="K184" s="524"/>
      <c r="L184" s="380"/>
      <c r="M184" s="394"/>
      <c r="N184" s="382"/>
      <c r="O184" s="382"/>
      <c r="P184" s="382"/>
      <c r="Q184" s="382"/>
      <c r="R184" s="382"/>
      <c r="S184" s="382"/>
      <c r="T184" s="382"/>
      <c r="U184" s="382"/>
      <c r="V184" s="382"/>
      <c r="W184" s="382"/>
      <c r="X184" s="382"/>
      <c r="Y184" s="382"/>
      <c r="Z184" s="382"/>
      <c r="AA184" s="382"/>
      <c r="AB184" s="382"/>
      <c r="AC184" s="382"/>
      <c r="AD184" s="382"/>
      <c r="AE184" s="382"/>
      <c r="AF184" s="382"/>
      <c r="AG184" s="382"/>
      <c r="AH184" s="382"/>
      <c r="AI184" s="382"/>
      <c r="AJ184" s="382"/>
      <c r="AK184" s="382"/>
      <c r="AL184" s="383"/>
      <c r="AM184" s="384"/>
      <c r="AN184" s="384"/>
      <c r="AO184" s="397"/>
      <c r="AP184" s="397"/>
      <c r="AQ184" s="410"/>
      <c r="AR184" s="410"/>
      <c r="AS184" s="415"/>
      <c r="AT184" s="415"/>
      <c r="AU184" s="412"/>
      <c r="AV184" s="412"/>
      <c r="AW184" s="413"/>
      <c r="AX184" s="413"/>
      <c r="AY184" s="390"/>
      <c r="AZ184" s="391"/>
      <c r="BA184" s="355"/>
      <c r="BB184" s="495" t="s">
        <v>403</v>
      </c>
      <c r="BC184" s="495"/>
      <c r="BD184" s="86">
        <f t="shared" si="95"/>
        <v>0</v>
      </c>
      <c r="BE184" s="86">
        <f t="shared" si="96"/>
        <v>0</v>
      </c>
      <c r="BF184" s="392">
        <f t="shared" si="97"/>
        <v>0</v>
      </c>
      <c r="BG184">
        <f t="shared" si="98"/>
        <v>0</v>
      </c>
    </row>
    <row r="185" spans="1:59" ht="15.75" customHeight="1">
      <c r="A185" s="521"/>
      <c r="B185" s="493"/>
      <c r="C185" s="493"/>
      <c r="D185" s="495" t="s">
        <v>404</v>
      </c>
      <c r="E185" s="522">
        <v>9.32</v>
      </c>
      <c r="F185" s="522">
        <f>E185*0.36</f>
        <v>3.3552</v>
      </c>
      <c r="G185" s="523">
        <f t="shared" si="93"/>
        <v>0.36</v>
      </c>
      <c r="H185" s="522">
        <f>E185*1.36</f>
        <v>12.675200000000002</v>
      </c>
      <c r="I185" s="522">
        <f t="shared" si="94"/>
        <v>13.942720000000003</v>
      </c>
      <c r="J185" s="378">
        <v>14</v>
      </c>
      <c r="K185" s="524"/>
      <c r="L185" s="380"/>
      <c r="M185" s="394"/>
      <c r="N185" s="382"/>
      <c r="O185" s="382"/>
      <c r="P185" s="382"/>
      <c r="Q185" s="382"/>
      <c r="R185" s="382"/>
      <c r="S185" s="382"/>
      <c r="T185" s="382"/>
      <c r="U185" s="382"/>
      <c r="V185" s="382"/>
      <c r="W185" s="382"/>
      <c r="X185" s="382"/>
      <c r="Y185" s="382"/>
      <c r="Z185" s="382"/>
      <c r="AA185" s="382"/>
      <c r="AB185" s="382"/>
      <c r="AC185" s="382"/>
      <c r="AD185" s="382"/>
      <c r="AE185" s="382"/>
      <c r="AF185" s="382"/>
      <c r="AG185" s="382"/>
      <c r="AH185" s="382"/>
      <c r="AI185" s="382"/>
      <c r="AJ185" s="382"/>
      <c r="AK185" s="382"/>
      <c r="AL185" s="383"/>
      <c r="AM185" s="384"/>
      <c r="AN185" s="384"/>
      <c r="AO185" s="397"/>
      <c r="AP185" s="397"/>
      <c r="AQ185" s="410"/>
      <c r="AR185" s="410"/>
      <c r="AS185" s="415"/>
      <c r="AT185" s="415"/>
      <c r="AU185" s="412"/>
      <c r="AV185" s="412"/>
      <c r="AW185" s="413"/>
      <c r="AX185" s="413"/>
      <c r="AY185" s="390"/>
      <c r="AZ185" s="391"/>
      <c r="BA185" s="355"/>
      <c r="BB185" s="495" t="s">
        <v>404</v>
      </c>
      <c r="BC185" s="495"/>
      <c r="BD185" s="86">
        <f t="shared" si="95"/>
        <v>0</v>
      </c>
      <c r="BE185" s="86">
        <f t="shared" si="96"/>
        <v>0</v>
      </c>
      <c r="BF185" s="392">
        <f t="shared" si="97"/>
        <v>0</v>
      </c>
      <c r="BG185">
        <f t="shared" si="98"/>
        <v>0</v>
      </c>
    </row>
    <row r="186" spans="1:59" ht="15" customHeight="1">
      <c r="A186" s="521"/>
      <c r="B186" s="493"/>
      <c r="C186" s="493" t="s">
        <v>405</v>
      </c>
      <c r="D186" s="495" t="s">
        <v>406</v>
      </c>
      <c r="E186" s="522">
        <v>3.45</v>
      </c>
      <c r="F186" s="522">
        <f>E186*0.3</f>
        <v>1.035</v>
      </c>
      <c r="G186" s="523">
        <f t="shared" si="93"/>
        <v>0.3</v>
      </c>
      <c r="H186" s="522">
        <f>E186*1.3</f>
        <v>4.485</v>
      </c>
      <c r="I186" s="522">
        <f t="shared" si="94"/>
        <v>4.9335</v>
      </c>
      <c r="J186" s="378">
        <v>4.9</v>
      </c>
      <c r="K186" s="524"/>
      <c r="L186" s="380"/>
      <c r="M186" s="394"/>
      <c r="N186" s="382"/>
      <c r="O186" s="382"/>
      <c r="P186" s="382"/>
      <c r="Q186" s="382"/>
      <c r="R186" s="382"/>
      <c r="S186" s="382"/>
      <c r="T186" s="382"/>
      <c r="U186" s="382"/>
      <c r="V186" s="382"/>
      <c r="W186" s="382"/>
      <c r="X186" s="382"/>
      <c r="Y186" s="382"/>
      <c r="Z186" s="382"/>
      <c r="AA186" s="382"/>
      <c r="AB186" s="382"/>
      <c r="AC186" s="382"/>
      <c r="AD186" s="382"/>
      <c r="AE186" s="382"/>
      <c r="AF186" s="382"/>
      <c r="AG186" s="382"/>
      <c r="AH186" s="382"/>
      <c r="AI186" s="382"/>
      <c r="AJ186" s="382"/>
      <c r="AK186" s="382"/>
      <c r="AL186" s="383"/>
      <c r="AM186" s="384"/>
      <c r="AN186" s="384"/>
      <c r="AO186" s="397"/>
      <c r="AP186" s="397"/>
      <c r="AQ186" s="398"/>
      <c r="AR186" s="398"/>
      <c r="AS186" s="415"/>
      <c r="AT186" s="415"/>
      <c r="AU186" s="412"/>
      <c r="AV186" s="412"/>
      <c r="AW186" s="413"/>
      <c r="AX186" s="413"/>
      <c r="AY186" s="390"/>
      <c r="AZ186" s="391"/>
      <c r="BA186" s="355"/>
      <c r="BB186" s="495" t="s">
        <v>406</v>
      </c>
      <c r="BC186" s="495"/>
      <c r="BD186" s="86">
        <f t="shared" si="95"/>
        <v>0</v>
      </c>
      <c r="BE186" s="86">
        <f t="shared" si="96"/>
        <v>0</v>
      </c>
      <c r="BF186" s="392">
        <f t="shared" si="97"/>
        <v>0</v>
      </c>
      <c r="BG186">
        <f t="shared" si="98"/>
        <v>0</v>
      </c>
    </row>
    <row r="187" spans="1:58" ht="15" customHeight="1">
      <c r="A187" s="521"/>
      <c r="B187" s="493"/>
      <c r="C187" s="493"/>
      <c r="D187" s="495" t="s">
        <v>407</v>
      </c>
      <c r="E187" s="522">
        <v>13.3</v>
      </c>
      <c r="F187" s="522">
        <f>E187*0.25</f>
        <v>3.325</v>
      </c>
      <c r="G187" s="523">
        <f t="shared" si="93"/>
        <v>0.25</v>
      </c>
      <c r="H187" s="522">
        <f>E187*1.25</f>
        <v>16.625</v>
      </c>
      <c r="I187" s="522">
        <f t="shared" si="94"/>
        <v>18.2875</v>
      </c>
      <c r="J187" s="378">
        <v>18.3</v>
      </c>
      <c r="K187" s="524"/>
      <c r="L187" s="380"/>
      <c r="M187" s="394"/>
      <c r="N187" s="382"/>
      <c r="O187" s="382"/>
      <c r="P187" s="382"/>
      <c r="Q187" s="382"/>
      <c r="R187" s="382"/>
      <c r="S187" s="382"/>
      <c r="T187" s="382"/>
      <c r="U187" s="382"/>
      <c r="V187" s="382"/>
      <c r="W187" s="382"/>
      <c r="X187" s="382"/>
      <c r="Y187" s="382"/>
      <c r="Z187" s="382"/>
      <c r="AA187" s="382"/>
      <c r="AB187" s="382"/>
      <c r="AC187" s="382"/>
      <c r="AD187" s="382"/>
      <c r="AE187" s="382"/>
      <c r="AF187" s="382"/>
      <c r="AG187" s="382"/>
      <c r="AH187" s="382"/>
      <c r="AI187" s="382"/>
      <c r="AJ187" s="382"/>
      <c r="AK187" s="382"/>
      <c r="AL187" s="383"/>
      <c r="AM187" s="384"/>
      <c r="AN187" s="384"/>
      <c r="AO187" s="397"/>
      <c r="AP187" s="397"/>
      <c r="AQ187" s="398"/>
      <c r="AR187" s="398"/>
      <c r="AS187" s="415"/>
      <c r="AT187" s="415"/>
      <c r="AU187" s="412"/>
      <c r="AV187" s="412"/>
      <c r="AW187" s="413"/>
      <c r="AX187" s="413"/>
      <c r="AY187" s="390"/>
      <c r="AZ187" s="391"/>
      <c r="BA187" s="355"/>
      <c r="BB187" s="495"/>
      <c r="BC187" s="495"/>
      <c r="BD187" s="86"/>
      <c r="BE187" s="86"/>
      <c r="BF187" s="392"/>
    </row>
    <row r="188" spans="1:59" ht="15.75" customHeight="1">
      <c r="A188" s="521"/>
      <c r="B188" s="493"/>
      <c r="C188" s="493"/>
      <c r="D188" s="495" t="s">
        <v>408</v>
      </c>
      <c r="E188" s="522">
        <v>3.09</v>
      </c>
      <c r="F188" s="522">
        <f>E188*0.33</f>
        <v>1.0197</v>
      </c>
      <c r="G188" s="523">
        <f t="shared" si="93"/>
        <v>0.33</v>
      </c>
      <c r="H188" s="522">
        <f>E188*1.33</f>
        <v>4.1097</v>
      </c>
      <c r="I188" s="522">
        <f t="shared" si="94"/>
        <v>4.520670000000001</v>
      </c>
      <c r="J188" s="378">
        <v>4.5</v>
      </c>
      <c r="K188" s="524"/>
      <c r="L188" s="380"/>
      <c r="M188" s="394"/>
      <c r="N188" s="382"/>
      <c r="O188" s="382"/>
      <c r="P188" s="382"/>
      <c r="Q188" s="382"/>
      <c r="R188" s="382"/>
      <c r="S188" s="382"/>
      <c r="T188" s="382"/>
      <c r="U188" s="382"/>
      <c r="V188" s="382"/>
      <c r="W188" s="382"/>
      <c r="X188" s="382"/>
      <c r="Y188" s="382"/>
      <c r="Z188" s="382"/>
      <c r="AA188" s="382"/>
      <c r="AB188" s="382"/>
      <c r="AC188" s="382"/>
      <c r="AD188" s="382"/>
      <c r="AE188" s="382"/>
      <c r="AF188" s="382"/>
      <c r="AG188" s="382"/>
      <c r="AH188" s="382"/>
      <c r="AI188" s="382"/>
      <c r="AJ188" s="382"/>
      <c r="AK188" s="382"/>
      <c r="AL188" s="383"/>
      <c r="AM188" s="384"/>
      <c r="AN188" s="384"/>
      <c r="AO188" s="397"/>
      <c r="AP188" s="397"/>
      <c r="AQ188" s="410"/>
      <c r="AR188" s="410"/>
      <c r="AS188" s="415"/>
      <c r="AT188" s="415"/>
      <c r="AU188" s="412"/>
      <c r="AV188" s="412"/>
      <c r="AW188" s="413"/>
      <c r="AX188" s="413"/>
      <c r="AY188" s="390"/>
      <c r="AZ188" s="391"/>
      <c r="BA188" s="355"/>
      <c r="BB188" s="495" t="s">
        <v>408</v>
      </c>
      <c r="BC188" s="495"/>
      <c r="BD188" s="86">
        <f aca="true" t="shared" si="99" ref="BD188:BD189">M188+O188+Q188+S188+U188+W188+Y188+AA188+AC188+AE188+AG188+AI188+AK188</f>
        <v>0</v>
      </c>
      <c r="BE188" s="86">
        <f aca="true" t="shared" si="100" ref="BE188:BE189">AY188</f>
        <v>0</v>
      </c>
      <c r="BF188" s="392">
        <f aca="true" t="shared" si="101" ref="BF188:BF189">(BC188+BD188)-AY188</f>
        <v>0</v>
      </c>
      <c r="BG188">
        <f aca="true" t="shared" si="102" ref="BG188:BG189">IF(BF188&gt;=6,"Ok","Commande")</f>
        <v>0</v>
      </c>
    </row>
    <row r="189" spans="1:59" ht="15.75" customHeight="1">
      <c r="A189" s="521"/>
      <c r="B189" s="493"/>
      <c r="C189" s="493"/>
      <c r="D189" s="495" t="s">
        <v>409</v>
      </c>
      <c r="E189" s="522">
        <v>2.88</v>
      </c>
      <c r="F189" s="522">
        <f>E189*0.3</f>
        <v>0.864</v>
      </c>
      <c r="G189" s="523">
        <f t="shared" si="93"/>
        <v>0.3</v>
      </c>
      <c r="H189" s="522">
        <f>E189*1.3</f>
        <v>3.7439999999999998</v>
      </c>
      <c r="I189" s="522">
        <f t="shared" si="94"/>
        <v>4.1184</v>
      </c>
      <c r="J189" s="378">
        <v>4.2</v>
      </c>
      <c r="K189" s="524"/>
      <c r="L189" s="380"/>
      <c r="M189" s="394"/>
      <c r="N189" s="382"/>
      <c r="O189" s="382"/>
      <c r="P189" s="382"/>
      <c r="Q189" s="382"/>
      <c r="R189" s="382"/>
      <c r="S189" s="382"/>
      <c r="T189" s="382"/>
      <c r="U189" s="382"/>
      <c r="V189" s="382"/>
      <c r="W189" s="382"/>
      <c r="X189" s="382"/>
      <c r="Y189" s="382"/>
      <c r="Z189" s="382"/>
      <c r="AA189" s="382"/>
      <c r="AB189" s="382"/>
      <c r="AC189" s="382"/>
      <c r="AD189" s="382"/>
      <c r="AE189" s="382"/>
      <c r="AF189" s="382"/>
      <c r="AG189" s="382"/>
      <c r="AH189" s="382"/>
      <c r="AI189" s="382"/>
      <c r="AJ189" s="382"/>
      <c r="AK189" s="382"/>
      <c r="AL189" s="383"/>
      <c r="AM189" s="384"/>
      <c r="AN189" s="384"/>
      <c r="AO189" s="397"/>
      <c r="AP189" s="397"/>
      <c r="AQ189" s="410"/>
      <c r="AR189" s="410"/>
      <c r="AS189" s="415"/>
      <c r="AT189" s="415"/>
      <c r="AU189" s="412"/>
      <c r="AV189" s="412"/>
      <c r="AW189" s="413"/>
      <c r="AX189" s="413"/>
      <c r="AY189" s="390"/>
      <c r="AZ189" s="391"/>
      <c r="BA189" s="355"/>
      <c r="BB189" s="495" t="s">
        <v>409</v>
      </c>
      <c r="BC189" s="495"/>
      <c r="BD189" s="86">
        <f t="shared" si="99"/>
        <v>0</v>
      </c>
      <c r="BE189" s="86">
        <f t="shared" si="100"/>
        <v>0</v>
      </c>
      <c r="BF189" s="392">
        <f t="shared" si="101"/>
        <v>0</v>
      </c>
      <c r="BG189">
        <f t="shared" si="102"/>
        <v>0</v>
      </c>
    </row>
    <row r="190" spans="1:58" ht="15.75" customHeight="1">
      <c r="A190" s="521"/>
      <c r="B190" s="493" t="s">
        <v>410</v>
      </c>
      <c r="C190" s="493"/>
      <c r="D190" s="495" t="s">
        <v>411</v>
      </c>
      <c r="E190" s="522" t="s">
        <v>412</v>
      </c>
      <c r="F190" s="522"/>
      <c r="G190" s="522"/>
      <c r="H190" s="522"/>
      <c r="I190" s="522"/>
      <c r="J190" s="378">
        <v>2.5</v>
      </c>
      <c r="K190" s="524"/>
      <c r="L190" s="380"/>
      <c r="M190" s="394"/>
      <c r="N190" s="382"/>
      <c r="O190" s="382"/>
      <c r="P190" s="382"/>
      <c r="Q190" s="382"/>
      <c r="R190" s="382"/>
      <c r="S190" s="382"/>
      <c r="T190" s="382"/>
      <c r="U190" s="382"/>
      <c r="V190" s="382"/>
      <c r="W190" s="382"/>
      <c r="X190" s="382"/>
      <c r="Y190" s="382"/>
      <c r="Z190" s="382"/>
      <c r="AA190" s="382"/>
      <c r="AB190" s="382"/>
      <c r="AC190" s="382"/>
      <c r="AD190" s="382"/>
      <c r="AE190" s="382"/>
      <c r="AF190" s="382"/>
      <c r="AG190" s="382"/>
      <c r="AH190" s="382"/>
      <c r="AI190" s="382"/>
      <c r="AJ190" s="382"/>
      <c r="AK190" s="382"/>
      <c r="AL190" s="383"/>
      <c r="AM190" s="384"/>
      <c r="AN190" s="384"/>
      <c r="AO190" s="397"/>
      <c r="AP190" s="397"/>
      <c r="AQ190" s="410"/>
      <c r="AR190" s="410"/>
      <c r="AS190" s="415"/>
      <c r="AT190" s="415"/>
      <c r="AU190" s="412"/>
      <c r="AV190" s="412"/>
      <c r="AW190" s="413"/>
      <c r="AX190" s="413"/>
      <c r="AY190" s="390"/>
      <c r="AZ190" s="391"/>
      <c r="BA190" s="355"/>
      <c r="BB190" s="495"/>
      <c r="BC190" s="495"/>
      <c r="BD190" s="86"/>
      <c r="BE190" s="86"/>
      <c r="BF190" s="392"/>
    </row>
    <row r="191" spans="1:58" ht="15.75" customHeight="1">
      <c r="A191" s="521"/>
      <c r="B191" s="493" t="s">
        <v>413</v>
      </c>
      <c r="C191" s="493"/>
      <c r="D191" s="525" t="s">
        <v>414</v>
      </c>
      <c r="E191" s="522" t="s">
        <v>278</v>
      </c>
      <c r="F191" s="522"/>
      <c r="G191" s="522"/>
      <c r="H191" s="522"/>
      <c r="I191" s="522"/>
      <c r="J191" s="378">
        <v>14.4</v>
      </c>
      <c r="K191" s="524"/>
      <c r="L191" s="380"/>
      <c r="M191" s="394"/>
      <c r="N191" s="382"/>
      <c r="O191" s="382"/>
      <c r="P191" s="382"/>
      <c r="Q191" s="382"/>
      <c r="R191" s="382"/>
      <c r="S191" s="382"/>
      <c r="T191" s="382"/>
      <c r="U191" s="382"/>
      <c r="V191" s="382"/>
      <c r="W191" s="382"/>
      <c r="X191" s="382"/>
      <c r="Y191" s="382"/>
      <c r="Z191" s="382"/>
      <c r="AA191" s="382"/>
      <c r="AB191" s="382"/>
      <c r="AC191" s="382"/>
      <c r="AD191" s="382"/>
      <c r="AE191" s="382"/>
      <c r="AF191" s="382"/>
      <c r="AG191" s="382"/>
      <c r="AH191" s="382"/>
      <c r="AI191" s="382"/>
      <c r="AJ191" s="382"/>
      <c r="AK191" s="382"/>
      <c r="AL191" s="383"/>
      <c r="AM191" s="384"/>
      <c r="AN191" s="384"/>
      <c r="AO191" s="397"/>
      <c r="AP191" s="397"/>
      <c r="AQ191" s="410"/>
      <c r="AR191" s="410"/>
      <c r="AS191" s="415"/>
      <c r="AT191" s="415"/>
      <c r="AU191" s="412"/>
      <c r="AV191" s="412"/>
      <c r="AW191" s="413"/>
      <c r="AX191" s="413"/>
      <c r="AY191" s="390"/>
      <c r="AZ191" s="391"/>
      <c r="BA191" s="355"/>
      <c r="BB191" s="495"/>
      <c r="BC191" s="495"/>
      <c r="BD191" s="86"/>
      <c r="BE191" s="86"/>
      <c r="BF191" s="392"/>
    </row>
    <row r="192" spans="1:58" ht="15.75" customHeight="1">
      <c r="A192" s="521"/>
      <c r="B192" s="493"/>
      <c r="C192" s="493"/>
      <c r="D192" s="525" t="s">
        <v>415</v>
      </c>
      <c r="E192" s="522"/>
      <c r="F192" s="522"/>
      <c r="G192" s="522"/>
      <c r="H192" s="522"/>
      <c r="I192" s="522"/>
      <c r="J192" s="378">
        <v>38</v>
      </c>
      <c r="K192" s="524"/>
      <c r="L192" s="380"/>
      <c r="M192" s="394"/>
      <c r="N192" s="382"/>
      <c r="O192" s="382"/>
      <c r="P192" s="382"/>
      <c r="Q192" s="382"/>
      <c r="R192" s="382"/>
      <c r="S192" s="382"/>
      <c r="T192" s="382"/>
      <c r="U192" s="382"/>
      <c r="V192" s="382"/>
      <c r="W192" s="382"/>
      <c r="X192" s="382"/>
      <c r="Y192" s="382"/>
      <c r="Z192" s="382"/>
      <c r="AA192" s="382"/>
      <c r="AB192" s="382"/>
      <c r="AC192" s="382"/>
      <c r="AD192" s="382"/>
      <c r="AE192" s="382"/>
      <c r="AF192" s="382"/>
      <c r="AG192" s="382"/>
      <c r="AH192" s="382"/>
      <c r="AI192" s="382"/>
      <c r="AJ192" s="382"/>
      <c r="AK192" s="382"/>
      <c r="AL192" s="383"/>
      <c r="AM192" s="384"/>
      <c r="AN192" s="384"/>
      <c r="AO192" s="397"/>
      <c r="AP192" s="397"/>
      <c r="AQ192" s="410"/>
      <c r="AR192" s="410"/>
      <c r="AS192" s="415"/>
      <c r="AT192" s="415"/>
      <c r="AU192" s="412"/>
      <c r="AV192" s="412"/>
      <c r="AW192" s="413"/>
      <c r="AX192" s="413"/>
      <c r="AY192" s="390"/>
      <c r="AZ192" s="391"/>
      <c r="BA192" s="355"/>
      <c r="BB192" s="495"/>
      <c r="BC192" s="495"/>
      <c r="BD192" s="86"/>
      <c r="BE192" s="86"/>
      <c r="BF192" s="392"/>
    </row>
    <row r="193" spans="1:58" ht="15.75" customHeight="1">
      <c r="A193" s="521"/>
      <c r="B193" s="493"/>
      <c r="C193" s="493"/>
      <c r="D193" s="526" t="s">
        <v>416</v>
      </c>
      <c r="E193" s="522"/>
      <c r="F193" s="522"/>
      <c r="G193" s="522"/>
      <c r="H193" s="522"/>
      <c r="I193" s="522"/>
      <c r="J193" s="378">
        <v>23.4</v>
      </c>
      <c r="K193" s="524"/>
      <c r="L193" s="380"/>
      <c r="M193" s="394"/>
      <c r="N193" s="382"/>
      <c r="O193" s="382"/>
      <c r="P193" s="382"/>
      <c r="Q193" s="382"/>
      <c r="R193" s="382"/>
      <c r="S193" s="382"/>
      <c r="T193" s="382"/>
      <c r="U193" s="382"/>
      <c r="V193" s="382"/>
      <c r="W193" s="382"/>
      <c r="X193" s="382"/>
      <c r="Y193" s="382"/>
      <c r="Z193" s="382"/>
      <c r="AA193" s="382"/>
      <c r="AB193" s="382"/>
      <c r="AC193" s="382"/>
      <c r="AD193" s="382"/>
      <c r="AE193" s="382"/>
      <c r="AF193" s="382"/>
      <c r="AG193" s="382"/>
      <c r="AH193" s="382"/>
      <c r="AI193" s="382"/>
      <c r="AJ193" s="382"/>
      <c r="AK193" s="382"/>
      <c r="AL193" s="383"/>
      <c r="AM193" s="384"/>
      <c r="AN193" s="384"/>
      <c r="AO193" s="397"/>
      <c r="AP193" s="397"/>
      <c r="AQ193" s="410"/>
      <c r="AR193" s="410"/>
      <c r="AS193" s="415"/>
      <c r="AT193" s="415"/>
      <c r="AU193" s="412"/>
      <c r="AV193" s="412"/>
      <c r="AW193" s="413"/>
      <c r="AX193" s="413"/>
      <c r="AY193" s="390"/>
      <c r="AZ193" s="391"/>
      <c r="BA193" s="355"/>
      <c r="BB193" s="495"/>
      <c r="BC193" s="495"/>
      <c r="BD193" s="86"/>
      <c r="BE193" s="86"/>
      <c r="BF193" s="392"/>
    </row>
    <row r="194" spans="1:58" ht="15.75" customHeight="1">
      <c r="A194" s="521"/>
      <c r="B194" s="493"/>
      <c r="C194" s="493"/>
      <c r="D194" s="495" t="s">
        <v>402</v>
      </c>
      <c r="E194" s="522"/>
      <c r="F194" s="522"/>
      <c r="G194" s="522"/>
      <c r="H194" s="522"/>
      <c r="I194" s="522"/>
      <c r="J194" s="378">
        <v>11.9</v>
      </c>
      <c r="K194" s="524"/>
      <c r="L194" s="380"/>
      <c r="M194" s="394"/>
      <c r="N194" s="382"/>
      <c r="O194" s="382"/>
      <c r="P194" s="382"/>
      <c r="Q194" s="382"/>
      <c r="R194" s="382"/>
      <c r="S194" s="382"/>
      <c r="T194" s="382"/>
      <c r="U194" s="382"/>
      <c r="V194" s="382"/>
      <c r="W194" s="382"/>
      <c r="X194" s="382"/>
      <c r="Y194" s="382"/>
      <c r="Z194" s="382"/>
      <c r="AA194" s="382"/>
      <c r="AB194" s="382"/>
      <c r="AC194" s="382"/>
      <c r="AD194" s="382"/>
      <c r="AE194" s="382"/>
      <c r="AF194" s="382"/>
      <c r="AG194" s="382"/>
      <c r="AH194" s="382"/>
      <c r="AI194" s="382"/>
      <c r="AJ194" s="382"/>
      <c r="AK194" s="382"/>
      <c r="AL194" s="383"/>
      <c r="AM194" s="384"/>
      <c r="AN194" s="384"/>
      <c r="AO194" s="397"/>
      <c r="AP194" s="397"/>
      <c r="AQ194" s="410"/>
      <c r="AR194" s="410"/>
      <c r="AS194" s="415"/>
      <c r="AT194" s="415"/>
      <c r="AU194" s="412"/>
      <c r="AV194" s="412"/>
      <c r="AW194" s="413"/>
      <c r="AX194" s="413"/>
      <c r="AY194" s="390"/>
      <c r="AZ194" s="391"/>
      <c r="BA194" s="355"/>
      <c r="BB194" s="495"/>
      <c r="BC194" s="495"/>
      <c r="BD194" s="86"/>
      <c r="BE194" s="86"/>
      <c r="BF194" s="392"/>
    </row>
    <row r="195" spans="1:59" ht="15">
      <c r="A195" s="521"/>
      <c r="B195" s="493"/>
      <c r="C195" s="493"/>
      <c r="D195" s="495" t="s">
        <v>417</v>
      </c>
      <c r="E195" s="522">
        <v>14.39</v>
      </c>
      <c r="F195" s="522">
        <f>E195*0.27</f>
        <v>3.8853000000000004</v>
      </c>
      <c r="G195" s="523">
        <f>F195/E195</f>
        <v>0.27</v>
      </c>
      <c r="H195" s="522">
        <f>E195*1.27</f>
        <v>18.2753</v>
      </c>
      <c r="I195" s="522">
        <f>H195*1.2</f>
        <v>21.93036</v>
      </c>
      <c r="J195" s="378">
        <v>22.5</v>
      </c>
      <c r="K195" s="524"/>
      <c r="L195" s="380"/>
      <c r="M195" s="394"/>
      <c r="N195" s="382"/>
      <c r="O195" s="382"/>
      <c r="P195" s="382"/>
      <c r="Q195" s="382"/>
      <c r="R195" s="382"/>
      <c r="S195" s="382"/>
      <c r="T195" s="382"/>
      <c r="U195" s="382"/>
      <c r="V195" s="382"/>
      <c r="W195" s="382"/>
      <c r="X195" s="382"/>
      <c r="Y195" s="382"/>
      <c r="Z195" s="382"/>
      <c r="AA195" s="382"/>
      <c r="AB195" s="382"/>
      <c r="AC195" s="382"/>
      <c r="AD195" s="382"/>
      <c r="AE195" s="382"/>
      <c r="AF195" s="382"/>
      <c r="AG195" s="382"/>
      <c r="AH195" s="382"/>
      <c r="AI195" s="382"/>
      <c r="AJ195" s="382"/>
      <c r="AK195" s="382"/>
      <c r="AL195" s="383"/>
      <c r="AM195" s="384"/>
      <c r="AN195" s="384"/>
      <c r="AO195" s="405"/>
      <c r="AP195" s="405"/>
      <c r="AQ195" s="414"/>
      <c r="AR195" s="414"/>
      <c r="AS195" s="415"/>
      <c r="AT195" s="415"/>
      <c r="AU195" s="412"/>
      <c r="AV195" s="412"/>
      <c r="AW195" s="413"/>
      <c r="AX195" s="413"/>
      <c r="AY195" s="390"/>
      <c r="AZ195" s="391"/>
      <c r="BA195" s="355"/>
      <c r="BB195" s="495" t="s">
        <v>418</v>
      </c>
      <c r="BC195" s="495"/>
      <c r="BD195" s="86">
        <f>M195+O195+Q195+S195+U195+W195+Y195+AA195+AC195+AE195+AG195+AI195+AK195</f>
        <v>0</v>
      </c>
      <c r="BE195" s="86">
        <f>AY195</f>
        <v>0</v>
      </c>
      <c r="BF195" s="392">
        <f>(BC195+BD195)-AY195</f>
        <v>0</v>
      </c>
      <c r="BG195">
        <f>IF(BF195&gt;=6,"Ok","Commande")</f>
        <v>0</v>
      </c>
    </row>
    <row r="196" spans="1:58" ht="30" customHeight="1">
      <c r="A196" s="521"/>
      <c r="B196" s="527" t="s">
        <v>419</v>
      </c>
      <c r="C196" s="493"/>
      <c r="D196" s="528" t="s">
        <v>420</v>
      </c>
      <c r="E196" s="522" t="s">
        <v>278</v>
      </c>
      <c r="F196" s="522"/>
      <c r="G196" s="522"/>
      <c r="H196" s="522"/>
      <c r="I196" s="522"/>
      <c r="J196" s="378">
        <v>9.9</v>
      </c>
      <c r="K196" s="524"/>
      <c r="L196" s="380"/>
      <c r="M196" s="394"/>
      <c r="N196" s="382"/>
      <c r="O196" s="382"/>
      <c r="P196" s="382"/>
      <c r="Q196" s="382"/>
      <c r="R196" s="382"/>
      <c r="S196" s="382"/>
      <c r="T196" s="382"/>
      <c r="U196" s="382"/>
      <c r="V196" s="382"/>
      <c r="W196" s="382"/>
      <c r="X196" s="382"/>
      <c r="Y196" s="382"/>
      <c r="Z196" s="382"/>
      <c r="AA196" s="382"/>
      <c r="AB196" s="382"/>
      <c r="AC196" s="382"/>
      <c r="AD196" s="382"/>
      <c r="AE196" s="382"/>
      <c r="AF196" s="382"/>
      <c r="AG196" s="382"/>
      <c r="AH196" s="382"/>
      <c r="AI196" s="382"/>
      <c r="AJ196" s="382"/>
      <c r="AK196" s="382"/>
      <c r="AL196" s="383"/>
      <c r="AM196" s="384"/>
      <c r="AN196" s="384"/>
      <c r="AO196" s="405"/>
      <c r="AP196" s="405"/>
      <c r="AQ196" s="414"/>
      <c r="AR196" s="414"/>
      <c r="AS196" s="415"/>
      <c r="AT196" s="415"/>
      <c r="AU196" s="412"/>
      <c r="AV196" s="412"/>
      <c r="AW196" s="413"/>
      <c r="AX196" s="413"/>
      <c r="AY196" s="390"/>
      <c r="AZ196" s="391"/>
      <c r="BA196" s="355"/>
      <c r="BB196" s="495"/>
      <c r="BC196" s="495"/>
      <c r="BD196" s="86"/>
      <c r="BE196" s="86"/>
      <c r="BF196" s="392"/>
    </row>
    <row r="197" spans="1:58" ht="31.5" customHeight="1">
      <c r="A197" s="521"/>
      <c r="B197" s="527"/>
      <c r="C197" s="493"/>
      <c r="D197" s="529" t="s">
        <v>421</v>
      </c>
      <c r="E197" s="522"/>
      <c r="F197" s="522"/>
      <c r="G197" s="522"/>
      <c r="H197" s="522"/>
      <c r="I197" s="522"/>
      <c r="J197" s="378">
        <v>18</v>
      </c>
      <c r="K197" s="524"/>
      <c r="L197" s="380"/>
      <c r="M197" s="394"/>
      <c r="N197" s="382"/>
      <c r="O197" s="382"/>
      <c r="P197" s="382"/>
      <c r="Q197" s="382"/>
      <c r="R197" s="382"/>
      <c r="S197" s="382"/>
      <c r="T197" s="382"/>
      <c r="U197" s="382"/>
      <c r="V197" s="382"/>
      <c r="W197" s="382"/>
      <c r="X197" s="382"/>
      <c r="Y197" s="382"/>
      <c r="Z197" s="382"/>
      <c r="AA197" s="382"/>
      <c r="AB197" s="382"/>
      <c r="AC197" s="382"/>
      <c r="AD197" s="382"/>
      <c r="AE197" s="382"/>
      <c r="AF197" s="382"/>
      <c r="AG197" s="382"/>
      <c r="AH197" s="382"/>
      <c r="AI197" s="382"/>
      <c r="AJ197" s="382"/>
      <c r="AK197" s="382"/>
      <c r="AL197" s="383"/>
      <c r="AM197" s="384"/>
      <c r="AN197" s="384"/>
      <c r="AO197" s="405"/>
      <c r="AP197" s="405"/>
      <c r="AQ197" s="414"/>
      <c r="AR197" s="414"/>
      <c r="AS197" s="415"/>
      <c r="AT197" s="415"/>
      <c r="AU197" s="412"/>
      <c r="AV197" s="412"/>
      <c r="AW197" s="413"/>
      <c r="AX197" s="413"/>
      <c r="AY197" s="390"/>
      <c r="AZ197" s="391"/>
      <c r="BA197" s="355"/>
      <c r="BB197" s="495"/>
      <c r="BC197" s="495"/>
      <c r="BD197" s="86"/>
      <c r="BE197" s="86"/>
      <c r="BF197" s="392"/>
    </row>
    <row r="198" spans="1:58" ht="31.5" customHeight="1">
      <c r="A198" s="521"/>
      <c r="B198" s="530" t="s">
        <v>410</v>
      </c>
      <c r="C198" s="493"/>
      <c r="D198" s="462" t="s">
        <v>422</v>
      </c>
      <c r="E198" s="377">
        <v>6.3</v>
      </c>
      <c r="F198" s="377">
        <f>E198*0.58</f>
        <v>3.6539999999999995</v>
      </c>
      <c r="G198" s="379">
        <f aca="true" t="shared" si="103" ref="G198:G200">F198/E198</f>
        <v>0.58</v>
      </c>
      <c r="H198" s="377">
        <f>E198*1.58</f>
        <v>9.954</v>
      </c>
      <c r="I198" s="377">
        <f aca="true" t="shared" si="104" ref="I198:I200">H198*1.2</f>
        <v>11.9448</v>
      </c>
      <c r="J198" s="378">
        <v>12</v>
      </c>
      <c r="K198" s="379">
        <v>0.2</v>
      </c>
      <c r="L198" s="380"/>
      <c r="M198" s="394"/>
      <c r="N198" s="382"/>
      <c r="O198" s="382"/>
      <c r="P198" s="382"/>
      <c r="Q198" s="382"/>
      <c r="R198" s="382"/>
      <c r="S198" s="382"/>
      <c r="T198" s="382"/>
      <c r="U198" s="382"/>
      <c r="V198" s="382"/>
      <c r="W198" s="382"/>
      <c r="X198" s="382"/>
      <c r="Y198" s="382"/>
      <c r="Z198" s="382"/>
      <c r="AA198" s="382"/>
      <c r="AB198" s="382"/>
      <c r="AC198" s="382"/>
      <c r="AD198" s="382"/>
      <c r="AE198" s="382"/>
      <c r="AF198" s="382"/>
      <c r="AG198" s="382"/>
      <c r="AH198" s="382"/>
      <c r="AI198" s="382"/>
      <c r="AJ198" s="382"/>
      <c r="AK198" s="382"/>
      <c r="AL198" s="383"/>
      <c r="AM198" s="384"/>
      <c r="AN198" s="384"/>
      <c r="AO198" s="405"/>
      <c r="AP198" s="405"/>
      <c r="AQ198" s="414"/>
      <c r="AR198" s="414"/>
      <c r="AS198" s="415"/>
      <c r="AT198" s="415"/>
      <c r="AU198" s="412"/>
      <c r="AV198" s="412"/>
      <c r="AW198" s="413"/>
      <c r="AX198" s="413"/>
      <c r="AY198" s="390"/>
      <c r="AZ198" s="391"/>
      <c r="BA198" s="355"/>
      <c r="BB198" s="495"/>
      <c r="BC198" s="495"/>
      <c r="BD198" s="86"/>
      <c r="BE198" s="86"/>
      <c r="BF198" s="392"/>
    </row>
    <row r="199" spans="1:58" ht="31.5" customHeight="1">
      <c r="A199" s="521" t="s">
        <v>423</v>
      </c>
      <c r="B199" s="530"/>
      <c r="C199" s="493"/>
      <c r="D199" s="462" t="s">
        <v>424</v>
      </c>
      <c r="E199" s="377">
        <v>5.05</v>
      </c>
      <c r="F199" s="377">
        <f>E199*0.65</f>
        <v>3.2825</v>
      </c>
      <c r="G199" s="379">
        <f t="shared" si="103"/>
        <v>0.65</v>
      </c>
      <c r="H199" s="377">
        <f>E199*1.65</f>
        <v>8.3325</v>
      </c>
      <c r="I199" s="377">
        <f t="shared" si="104"/>
        <v>9.998999999999999</v>
      </c>
      <c r="J199" s="378">
        <v>10</v>
      </c>
      <c r="K199" s="379"/>
      <c r="L199" s="380"/>
      <c r="M199" s="394"/>
      <c r="N199" s="382"/>
      <c r="O199" s="382"/>
      <c r="P199" s="382"/>
      <c r="Q199" s="382"/>
      <c r="R199" s="382"/>
      <c r="S199" s="382"/>
      <c r="T199" s="382"/>
      <c r="U199" s="382"/>
      <c r="V199" s="382"/>
      <c r="W199" s="382"/>
      <c r="X199" s="382"/>
      <c r="Y199" s="382"/>
      <c r="Z199" s="382"/>
      <c r="AA199" s="382"/>
      <c r="AB199" s="382"/>
      <c r="AC199" s="382"/>
      <c r="AD199" s="382"/>
      <c r="AE199" s="382"/>
      <c r="AF199" s="382"/>
      <c r="AG199" s="382"/>
      <c r="AH199" s="382"/>
      <c r="AI199" s="382"/>
      <c r="AJ199" s="382"/>
      <c r="AK199" s="382"/>
      <c r="AL199" s="383"/>
      <c r="AM199" s="384"/>
      <c r="AN199" s="384"/>
      <c r="AO199" s="405"/>
      <c r="AP199" s="405"/>
      <c r="AQ199" s="414"/>
      <c r="AR199" s="414"/>
      <c r="AS199" s="415"/>
      <c r="AT199" s="415"/>
      <c r="AU199" s="412"/>
      <c r="AV199" s="412"/>
      <c r="AW199" s="413"/>
      <c r="AX199" s="413"/>
      <c r="AY199" s="390"/>
      <c r="AZ199" s="391"/>
      <c r="BA199" s="355"/>
      <c r="BB199" s="495"/>
      <c r="BC199" s="495"/>
      <c r="BD199" s="86"/>
      <c r="BE199" s="86"/>
      <c r="BF199" s="392"/>
    </row>
    <row r="200" spans="1:58" ht="31.5" customHeight="1">
      <c r="A200" s="521"/>
      <c r="B200" s="530"/>
      <c r="C200" s="493"/>
      <c r="D200" s="462" t="s">
        <v>425</v>
      </c>
      <c r="E200" s="377">
        <v>9.1</v>
      </c>
      <c r="F200" s="377">
        <f>E200*0.37</f>
        <v>3.367</v>
      </c>
      <c r="G200" s="379">
        <f t="shared" si="103"/>
        <v>0.37</v>
      </c>
      <c r="H200" s="377">
        <f>E200*1.37</f>
        <v>12.467</v>
      </c>
      <c r="I200" s="377">
        <f t="shared" si="104"/>
        <v>14.9604</v>
      </c>
      <c r="J200" s="378">
        <v>15</v>
      </c>
      <c r="K200" s="379"/>
      <c r="L200" s="380"/>
      <c r="M200" s="394"/>
      <c r="N200" s="382"/>
      <c r="O200" s="382"/>
      <c r="P200" s="382"/>
      <c r="Q200" s="382"/>
      <c r="R200" s="382"/>
      <c r="S200" s="382"/>
      <c r="T200" s="382"/>
      <c r="U200" s="382"/>
      <c r="V200" s="382"/>
      <c r="W200" s="382"/>
      <c r="X200" s="382"/>
      <c r="Y200" s="382"/>
      <c r="Z200" s="382"/>
      <c r="AA200" s="382"/>
      <c r="AB200" s="382"/>
      <c r="AC200" s="382"/>
      <c r="AD200" s="382"/>
      <c r="AE200" s="382"/>
      <c r="AF200" s="382"/>
      <c r="AG200" s="382"/>
      <c r="AH200" s="382"/>
      <c r="AI200" s="382"/>
      <c r="AJ200" s="382"/>
      <c r="AK200" s="382"/>
      <c r="AL200" s="383"/>
      <c r="AM200" s="384"/>
      <c r="AN200" s="384"/>
      <c r="AO200" s="405"/>
      <c r="AP200" s="405"/>
      <c r="AQ200" s="414"/>
      <c r="AR200" s="414"/>
      <c r="AS200" s="415"/>
      <c r="AT200" s="415"/>
      <c r="AU200" s="412"/>
      <c r="AV200" s="412"/>
      <c r="AW200" s="413"/>
      <c r="AX200" s="413"/>
      <c r="AY200" s="390"/>
      <c r="AZ200" s="391"/>
      <c r="BA200" s="355"/>
      <c r="BB200" s="495"/>
      <c r="BC200" s="495"/>
      <c r="BD200" s="86"/>
      <c r="BE200" s="86"/>
      <c r="BF200" s="392"/>
    </row>
    <row r="201" spans="1:59" ht="15.75" customHeight="1">
      <c r="A201" s="531" t="s">
        <v>426</v>
      </c>
      <c r="B201" s="532" t="s">
        <v>427</v>
      </c>
      <c r="C201" s="532"/>
      <c r="D201" s="451" t="s">
        <v>428</v>
      </c>
      <c r="E201" s="533" t="s">
        <v>367</v>
      </c>
      <c r="F201" s="377">
        <v>0</v>
      </c>
      <c r="G201" s="379"/>
      <c r="H201" s="377"/>
      <c r="I201" s="377"/>
      <c r="J201" s="378">
        <v>1</v>
      </c>
      <c r="K201" s="379"/>
      <c r="L201" s="380"/>
      <c r="M201" s="394"/>
      <c r="N201" s="382"/>
      <c r="O201" s="382"/>
      <c r="P201" s="382"/>
      <c r="Q201" s="382"/>
      <c r="R201" s="382"/>
      <c r="S201" s="382"/>
      <c r="T201" s="382"/>
      <c r="U201" s="382"/>
      <c r="V201" s="382"/>
      <c r="W201" s="382"/>
      <c r="X201" s="382"/>
      <c r="Y201" s="382"/>
      <c r="Z201" s="382"/>
      <c r="AA201" s="382"/>
      <c r="AB201" s="382"/>
      <c r="AC201" s="382"/>
      <c r="AD201" s="382"/>
      <c r="AE201" s="382"/>
      <c r="AF201" s="382"/>
      <c r="AG201" s="382"/>
      <c r="AH201" s="382"/>
      <c r="AI201" s="382"/>
      <c r="AJ201" s="382"/>
      <c r="AK201" s="382"/>
      <c r="AL201" s="383"/>
      <c r="AM201" s="384"/>
      <c r="AN201" s="384"/>
      <c r="AO201" s="405"/>
      <c r="AP201" s="405"/>
      <c r="AQ201" s="414"/>
      <c r="AR201" s="414"/>
      <c r="AS201" s="415"/>
      <c r="AT201" s="415"/>
      <c r="AU201" s="412"/>
      <c r="AV201" s="412"/>
      <c r="AW201" s="500"/>
      <c r="AX201" s="500"/>
      <c r="AY201" s="390"/>
      <c r="AZ201" s="391"/>
      <c r="BA201" s="355"/>
      <c r="BB201" s="451" t="s">
        <v>428</v>
      </c>
      <c r="BC201" s="451"/>
      <c r="BD201" s="86">
        <f aca="true" t="shared" si="105" ref="BD201:BD213">M201+O201+Q201+S201+U201+W201+Y201+AA201+AC201+AE201+AG201+AI201+AK201</f>
        <v>0</v>
      </c>
      <c r="BE201" s="86">
        <f aca="true" t="shared" si="106" ref="BE201:BE213">AY201</f>
        <v>0</v>
      </c>
      <c r="BF201" s="392">
        <f aca="true" t="shared" si="107" ref="BF201:BF213">(BC201+BD201)-AY201</f>
        <v>0</v>
      </c>
      <c r="BG201">
        <f aca="true" t="shared" si="108" ref="BG201:BG213">IF(BF201&gt;=6,"Ok","Commande")</f>
        <v>0</v>
      </c>
    </row>
    <row r="202" spans="1:59" ht="15.75" customHeight="1">
      <c r="A202" s="531"/>
      <c r="B202" s="532" t="s">
        <v>429</v>
      </c>
      <c r="C202" s="532"/>
      <c r="D202" s="451" t="s">
        <v>429</v>
      </c>
      <c r="E202" s="533" t="s">
        <v>367</v>
      </c>
      <c r="F202" s="377">
        <v>0</v>
      </c>
      <c r="G202" s="379"/>
      <c r="H202" s="377"/>
      <c r="I202" s="377"/>
      <c r="J202" s="378">
        <v>1</v>
      </c>
      <c r="K202" s="379"/>
      <c r="L202" s="380"/>
      <c r="M202" s="394"/>
      <c r="N202" s="382"/>
      <c r="O202" s="382"/>
      <c r="P202" s="382"/>
      <c r="Q202" s="382"/>
      <c r="R202" s="382"/>
      <c r="S202" s="382"/>
      <c r="T202" s="382"/>
      <c r="U202" s="382"/>
      <c r="V202" s="382"/>
      <c r="W202" s="382"/>
      <c r="X202" s="382"/>
      <c r="Y202" s="382"/>
      <c r="Z202" s="382"/>
      <c r="AA202" s="382"/>
      <c r="AB202" s="382"/>
      <c r="AC202" s="382"/>
      <c r="AD202" s="382"/>
      <c r="AE202" s="382"/>
      <c r="AF202" s="382"/>
      <c r="AG202" s="382"/>
      <c r="AH202" s="382"/>
      <c r="AI202" s="382"/>
      <c r="AJ202" s="382"/>
      <c r="AK202" s="382"/>
      <c r="AL202" s="383"/>
      <c r="AM202" s="384"/>
      <c r="AN202" s="384"/>
      <c r="AO202" s="397"/>
      <c r="AP202" s="397"/>
      <c r="AQ202" s="414"/>
      <c r="AR202" s="414"/>
      <c r="AS202" s="415"/>
      <c r="AT202" s="415"/>
      <c r="AU202" s="412"/>
      <c r="AV202" s="412"/>
      <c r="AW202" s="413"/>
      <c r="AX202" s="413"/>
      <c r="AY202" s="390"/>
      <c r="AZ202" s="391"/>
      <c r="BA202" s="355"/>
      <c r="BB202" s="451" t="s">
        <v>429</v>
      </c>
      <c r="BC202" s="451"/>
      <c r="BD202" s="86">
        <f t="shared" si="105"/>
        <v>0</v>
      </c>
      <c r="BE202" s="86">
        <f t="shared" si="106"/>
        <v>0</v>
      </c>
      <c r="BF202" s="392">
        <f t="shared" si="107"/>
        <v>0</v>
      </c>
      <c r="BG202">
        <f t="shared" si="108"/>
        <v>0</v>
      </c>
    </row>
    <row r="203" spans="1:59" ht="15.75" customHeight="1">
      <c r="A203" s="531"/>
      <c r="B203" s="532" t="s">
        <v>430</v>
      </c>
      <c r="C203" s="532"/>
      <c r="D203" s="451" t="s">
        <v>430</v>
      </c>
      <c r="E203" s="533" t="s">
        <v>367</v>
      </c>
      <c r="F203" s="377">
        <v>0</v>
      </c>
      <c r="G203" s="379"/>
      <c r="H203" s="377"/>
      <c r="I203" s="377"/>
      <c r="J203" s="378">
        <v>1</v>
      </c>
      <c r="K203" s="379"/>
      <c r="L203" s="380"/>
      <c r="M203" s="394"/>
      <c r="N203" s="382"/>
      <c r="O203" s="382"/>
      <c r="P203" s="382"/>
      <c r="Q203" s="382"/>
      <c r="R203" s="382"/>
      <c r="S203" s="382"/>
      <c r="T203" s="382"/>
      <c r="U203" s="382"/>
      <c r="V203" s="382"/>
      <c r="W203" s="382"/>
      <c r="X203" s="382"/>
      <c r="Y203" s="382"/>
      <c r="Z203" s="382"/>
      <c r="AA203" s="382"/>
      <c r="AB203" s="382"/>
      <c r="AC203" s="382"/>
      <c r="AD203" s="382"/>
      <c r="AE203" s="382"/>
      <c r="AF203" s="382"/>
      <c r="AG203" s="382"/>
      <c r="AH203" s="382"/>
      <c r="AI203" s="382"/>
      <c r="AJ203" s="382"/>
      <c r="AK203" s="382"/>
      <c r="AL203" s="383"/>
      <c r="AM203" s="384"/>
      <c r="AN203" s="384"/>
      <c r="AO203" s="397"/>
      <c r="AP203" s="397"/>
      <c r="AQ203" s="414"/>
      <c r="AR203" s="414"/>
      <c r="AS203" s="415"/>
      <c r="AT203" s="415"/>
      <c r="AU203" s="412"/>
      <c r="AV203" s="412"/>
      <c r="AW203" s="413"/>
      <c r="AX203" s="413"/>
      <c r="AY203" s="390"/>
      <c r="AZ203" s="391"/>
      <c r="BA203" s="355"/>
      <c r="BB203" s="451" t="s">
        <v>430</v>
      </c>
      <c r="BC203" s="451"/>
      <c r="BD203" s="86">
        <f t="shared" si="105"/>
        <v>0</v>
      </c>
      <c r="BE203" s="86">
        <f t="shared" si="106"/>
        <v>0</v>
      </c>
      <c r="BF203" s="392">
        <f t="shared" si="107"/>
        <v>0</v>
      </c>
      <c r="BG203">
        <f t="shared" si="108"/>
        <v>0</v>
      </c>
    </row>
    <row r="204" spans="1:59" ht="15.75" customHeight="1">
      <c r="A204" s="531"/>
      <c r="B204" s="532" t="s">
        <v>431</v>
      </c>
      <c r="C204" s="532"/>
      <c r="D204" s="441" t="s">
        <v>432</v>
      </c>
      <c r="E204" s="442">
        <v>0.11</v>
      </c>
      <c r="F204" s="442">
        <f aca="true" t="shared" si="109" ref="F204:F212">E204*6.5</f>
        <v>0.715</v>
      </c>
      <c r="G204" s="443">
        <f aca="true" t="shared" si="110" ref="G204:G212">F204/E204</f>
        <v>6.5</v>
      </c>
      <c r="H204" s="442">
        <f aca="true" t="shared" si="111" ref="H204:H212">F204+E204</f>
        <v>0.825</v>
      </c>
      <c r="I204" s="442">
        <f aca="true" t="shared" si="112" ref="I204:I212">H204*1.2</f>
        <v>0.9899999999999999</v>
      </c>
      <c r="J204" s="442">
        <v>1</v>
      </c>
      <c r="K204" s="379"/>
      <c r="L204" s="380"/>
      <c r="M204" s="394"/>
      <c r="N204" s="382"/>
      <c r="O204" s="382"/>
      <c r="P204" s="382"/>
      <c r="Q204" s="382"/>
      <c r="R204" s="382"/>
      <c r="S204" s="382"/>
      <c r="T204" s="382"/>
      <c r="U204" s="382"/>
      <c r="V204" s="382"/>
      <c r="W204" s="382"/>
      <c r="X204" s="382"/>
      <c r="Y204" s="382"/>
      <c r="Z204" s="382"/>
      <c r="AA204" s="382"/>
      <c r="AB204" s="382"/>
      <c r="AC204" s="382"/>
      <c r="AD204" s="382"/>
      <c r="AE204" s="382"/>
      <c r="AF204" s="382"/>
      <c r="AG204" s="382"/>
      <c r="AH204" s="382"/>
      <c r="AI204" s="382"/>
      <c r="AJ204" s="382"/>
      <c r="AK204" s="382"/>
      <c r="AL204" s="383"/>
      <c r="AM204" s="384"/>
      <c r="AN204" s="384"/>
      <c r="AO204" s="405"/>
      <c r="AP204" s="405"/>
      <c r="AQ204" s="410"/>
      <c r="AR204" s="410"/>
      <c r="AS204" s="415"/>
      <c r="AT204" s="415"/>
      <c r="AU204" s="440"/>
      <c r="AV204" s="440"/>
      <c r="AW204" s="500"/>
      <c r="AX204" s="500"/>
      <c r="AY204" s="390"/>
      <c r="AZ204" s="391"/>
      <c r="BA204" s="355"/>
      <c r="BB204" s="451" t="s">
        <v>432</v>
      </c>
      <c r="BC204" s="451"/>
      <c r="BD204" s="86">
        <f t="shared" si="105"/>
        <v>0</v>
      </c>
      <c r="BE204" s="86">
        <f t="shared" si="106"/>
        <v>0</v>
      </c>
      <c r="BF204" s="392">
        <f t="shared" si="107"/>
        <v>0</v>
      </c>
      <c r="BG204">
        <f t="shared" si="108"/>
        <v>0</v>
      </c>
    </row>
    <row r="205" spans="1:59" ht="15.75" customHeight="1">
      <c r="A205" s="531"/>
      <c r="B205" s="532"/>
      <c r="C205" s="395"/>
      <c r="D205" s="441" t="s">
        <v>433</v>
      </c>
      <c r="E205" s="442">
        <v>0.11</v>
      </c>
      <c r="F205" s="442">
        <f t="shared" si="109"/>
        <v>0.715</v>
      </c>
      <c r="G205" s="443">
        <f t="shared" si="110"/>
        <v>6.5</v>
      </c>
      <c r="H205" s="442">
        <f t="shared" si="111"/>
        <v>0.825</v>
      </c>
      <c r="I205" s="442">
        <f t="shared" si="112"/>
        <v>0.9899999999999999</v>
      </c>
      <c r="J205" s="442">
        <v>1</v>
      </c>
      <c r="K205" s="379"/>
      <c r="L205" s="380"/>
      <c r="M205" s="394"/>
      <c r="N205" s="382"/>
      <c r="O205" s="382"/>
      <c r="P205" s="382"/>
      <c r="Q205" s="382"/>
      <c r="R205" s="382"/>
      <c r="S205" s="382"/>
      <c r="T205" s="382"/>
      <c r="U205" s="382"/>
      <c r="V205" s="382"/>
      <c r="W205" s="382"/>
      <c r="X205" s="382"/>
      <c r="Y205" s="382"/>
      <c r="Z205" s="382"/>
      <c r="AA205" s="382"/>
      <c r="AB205" s="382"/>
      <c r="AC205" s="382"/>
      <c r="AD205" s="382"/>
      <c r="AE205" s="382"/>
      <c r="AF205" s="382"/>
      <c r="AG205" s="382"/>
      <c r="AH205" s="382"/>
      <c r="AI205" s="382"/>
      <c r="AJ205" s="382"/>
      <c r="AK205" s="382"/>
      <c r="AL205" s="383"/>
      <c r="AM205" s="384"/>
      <c r="AN205" s="384"/>
      <c r="AO205" s="405"/>
      <c r="AP205" s="405"/>
      <c r="AQ205" s="410"/>
      <c r="AR205" s="410"/>
      <c r="AS205" s="415"/>
      <c r="AT205" s="415"/>
      <c r="AU205" s="440"/>
      <c r="AV205" s="440"/>
      <c r="AW205" s="500"/>
      <c r="AX205" s="500"/>
      <c r="AY205" s="390"/>
      <c r="AZ205" s="391"/>
      <c r="BA205" s="355"/>
      <c r="BB205" s="451" t="s">
        <v>433</v>
      </c>
      <c r="BC205" s="451"/>
      <c r="BD205" s="86">
        <f t="shared" si="105"/>
        <v>0</v>
      </c>
      <c r="BE205" s="86">
        <f t="shared" si="106"/>
        <v>0</v>
      </c>
      <c r="BF205" s="392">
        <f t="shared" si="107"/>
        <v>0</v>
      </c>
      <c r="BG205">
        <f t="shared" si="108"/>
        <v>0</v>
      </c>
    </row>
    <row r="206" spans="1:59" ht="15.75" customHeight="1">
      <c r="A206" s="531"/>
      <c r="B206" s="532"/>
      <c r="C206" s="395"/>
      <c r="D206" s="441" t="s">
        <v>434</v>
      </c>
      <c r="E206" s="442">
        <v>0.11</v>
      </c>
      <c r="F206" s="442">
        <f t="shared" si="109"/>
        <v>0.715</v>
      </c>
      <c r="G206" s="443">
        <f t="shared" si="110"/>
        <v>6.5</v>
      </c>
      <c r="H206" s="442">
        <f t="shared" si="111"/>
        <v>0.825</v>
      </c>
      <c r="I206" s="442">
        <f t="shared" si="112"/>
        <v>0.9899999999999999</v>
      </c>
      <c r="J206" s="442">
        <v>1</v>
      </c>
      <c r="K206" s="379"/>
      <c r="L206" s="380"/>
      <c r="M206" s="394"/>
      <c r="N206" s="382"/>
      <c r="O206" s="382"/>
      <c r="P206" s="382"/>
      <c r="Q206" s="382"/>
      <c r="R206" s="382"/>
      <c r="S206" s="382"/>
      <c r="T206" s="382"/>
      <c r="U206" s="382"/>
      <c r="V206" s="382"/>
      <c r="W206" s="382"/>
      <c r="X206" s="382"/>
      <c r="Y206" s="382"/>
      <c r="Z206" s="382"/>
      <c r="AA206" s="382"/>
      <c r="AB206" s="382"/>
      <c r="AC206" s="382"/>
      <c r="AD206" s="382"/>
      <c r="AE206" s="382"/>
      <c r="AF206" s="382"/>
      <c r="AG206" s="382"/>
      <c r="AH206" s="382"/>
      <c r="AI206" s="382"/>
      <c r="AJ206" s="382"/>
      <c r="AK206" s="382"/>
      <c r="AL206" s="383"/>
      <c r="AM206" s="384"/>
      <c r="AN206" s="384"/>
      <c r="AO206" s="405"/>
      <c r="AP206" s="405"/>
      <c r="AQ206" s="410"/>
      <c r="AR206" s="410"/>
      <c r="AS206" s="415"/>
      <c r="AT206" s="415"/>
      <c r="AU206" s="440"/>
      <c r="AV206" s="440"/>
      <c r="AW206" s="500"/>
      <c r="AX206" s="500"/>
      <c r="AY206" s="390"/>
      <c r="AZ206" s="391"/>
      <c r="BA206" s="355"/>
      <c r="BB206" s="451" t="s">
        <v>434</v>
      </c>
      <c r="BC206" s="451"/>
      <c r="BD206" s="86">
        <f t="shared" si="105"/>
        <v>0</v>
      </c>
      <c r="BE206" s="86">
        <f t="shared" si="106"/>
        <v>0</v>
      </c>
      <c r="BF206" s="392">
        <f t="shared" si="107"/>
        <v>0</v>
      </c>
      <c r="BG206">
        <f t="shared" si="108"/>
        <v>0</v>
      </c>
    </row>
    <row r="207" spans="1:59" ht="15.75" customHeight="1">
      <c r="A207" s="531"/>
      <c r="B207" s="532"/>
      <c r="C207" s="395"/>
      <c r="D207" s="441" t="s">
        <v>153</v>
      </c>
      <c r="E207" s="442">
        <v>0.11</v>
      </c>
      <c r="F207" s="442">
        <f t="shared" si="109"/>
        <v>0.715</v>
      </c>
      <c r="G207" s="443">
        <f t="shared" si="110"/>
        <v>6.5</v>
      </c>
      <c r="H207" s="442">
        <f t="shared" si="111"/>
        <v>0.825</v>
      </c>
      <c r="I207" s="442">
        <f t="shared" si="112"/>
        <v>0.9899999999999999</v>
      </c>
      <c r="J207" s="442">
        <v>1</v>
      </c>
      <c r="K207" s="379"/>
      <c r="L207" s="380"/>
      <c r="M207" s="394"/>
      <c r="N207" s="382"/>
      <c r="O207" s="382"/>
      <c r="P207" s="382"/>
      <c r="Q207" s="382"/>
      <c r="R207" s="382"/>
      <c r="S207" s="382"/>
      <c r="T207" s="382"/>
      <c r="U207" s="382"/>
      <c r="V207" s="382"/>
      <c r="W207" s="382"/>
      <c r="X207" s="382"/>
      <c r="Y207" s="382"/>
      <c r="Z207" s="382"/>
      <c r="AA207" s="382"/>
      <c r="AB207" s="382"/>
      <c r="AC207" s="382"/>
      <c r="AD207" s="382"/>
      <c r="AE207" s="382"/>
      <c r="AF207" s="382"/>
      <c r="AG207" s="382"/>
      <c r="AH207" s="382"/>
      <c r="AI207" s="382"/>
      <c r="AJ207" s="382"/>
      <c r="AK207" s="382"/>
      <c r="AL207" s="383"/>
      <c r="AM207" s="384"/>
      <c r="AN207" s="384"/>
      <c r="AO207" s="405"/>
      <c r="AP207" s="405"/>
      <c r="AQ207" s="410"/>
      <c r="AR207" s="410"/>
      <c r="AS207" s="415"/>
      <c r="AT207" s="415"/>
      <c r="AU207" s="440"/>
      <c r="AV207" s="440"/>
      <c r="AW207" s="500"/>
      <c r="AX207" s="500"/>
      <c r="AY207" s="390"/>
      <c r="AZ207" s="391"/>
      <c r="BA207" s="355"/>
      <c r="BB207" s="451" t="s">
        <v>153</v>
      </c>
      <c r="BC207" s="451"/>
      <c r="BD207" s="86">
        <f t="shared" si="105"/>
        <v>0</v>
      </c>
      <c r="BE207" s="86">
        <f t="shared" si="106"/>
        <v>0</v>
      </c>
      <c r="BF207" s="392">
        <f t="shared" si="107"/>
        <v>0</v>
      </c>
      <c r="BG207">
        <f t="shared" si="108"/>
        <v>0</v>
      </c>
    </row>
    <row r="208" spans="1:59" ht="15.75" customHeight="1">
      <c r="A208" s="531"/>
      <c r="B208" s="532"/>
      <c r="C208" s="395"/>
      <c r="D208" s="441" t="s">
        <v>435</v>
      </c>
      <c r="E208" s="442">
        <v>0.11</v>
      </c>
      <c r="F208" s="442">
        <f t="shared" si="109"/>
        <v>0.715</v>
      </c>
      <c r="G208" s="443">
        <f t="shared" si="110"/>
        <v>6.5</v>
      </c>
      <c r="H208" s="442">
        <f t="shared" si="111"/>
        <v>0.825</v>
      </c>
      <c r="I208" s="442">
        <f t="shared" si="112"/>
        <v>0.9899999999999999</v>
      </c>
      <c r="J208" s="442">
        <v>1</v>
      </c>
      <c r="K208" s="379"/>
      <c r="L208" s="380"/>
      <c r="M208" s="394"/>
      <c r="N208" s="382"/>
      <c r="O208" s="382"/>
      <c r="P208" s="382"/>
      <c r="Q208" s="382"/>
      <c r="R208" s="382"/>
      <c r="S208" s="382"/>
      <c r="T208" s="382"/>
      <c r="U208" s="382"/>
      <c r="V208" s="382"/>
      <c r="W208" s="382"/>
      <c r="X208" s="382"/>
      <c r="Y208" s="382"/>
      <c r="Z208" s="382"/>
      <c r="AA208" s="382"/>
      <c r="AB208" s="382"/>
      <c r="AC208" s="382"/>
      <c r="AD208" s="382"/>
      <c r="AE208" s="382"/>
      <c r="AF208" s="382"/>
      <c r="AG208" s="382"/>
      <c r="AH208" s="382"/>
      <c r="AI208" s="382"/>
      <c r="AJ208" s="382"/>
      <c r="AK208" s="382"/>
      <c r="AL208" s="383"/>
      <c r="AM208" s="384"/>
      <c r="AN208" s="384"/>
      <c r="AO208" s="405"/>
      <c r="AP208" s="405"/>
      <c r="AQ208" s="410"/>
      <c r="AR208" s="410"/>
      <c r="AS208" s="415"/>
      <c r="AT208" s="415"/>
      <c r="AU208" s="440"/>
      <c r="AV208" s="440"/>
      <c r="AW208" s="500"/>
      <c r="AX208" s="500"/>
      <c r="AY208" s="390"/>
      <c r="AZ208" s="391"/>
      <c r="BA208" s="355"/>
      <c r="BB208" s="451" t="s">
        <v>435</v>
      </c>
      <c r="BC208" s="451"/>
      <c r="BD208" s="86">
        <f t="shared" si="105"/>
        <v>0</v>
      </c>
      <c r="BE208" s="86">
        <f t="shared" si="106"/>
        <v>0</v>
      </c>
      <c r="BF208" s="392">
        <f t="shared" si="107"/>
        <v>0</v>
      </c>
      <c r="BG208">
        <f t="shared" si="108"/>
        <v>0</v>
      </c>
    </row>
    <row r="209" spans="1:59" ht="15.75" customHeight="1">
      <c r="A209" s="531"/>
      <c r="B209" s="532"/>
      <c r="C209" s="395"/>
      <c r="D209" s="441" t="s">
        <v>436</v>
      </c>
      <c r="E209" s="442">
        <v>0.11</v>
      </c>
      <c r="F209" s="442">
        <f t="shared" si="109"/>
        <v>0.715</v>
      </c>
      <c r="G209" s="443">
        <f t="shared" si="110"/>
        <v>6.5</v>
      </c>
      <c r="H209" s="442">
        <f t="shared" si="111"/>
        <v>0.825</v>
      </c>
      <c r="I209" s="442">
        <f t="shared" si="112"/>
        <v>0.9899999999999999</v>
      </c>
      <c r="J209" s="442">
        <v>1</v>
      </c>
      <c r="K209" s="379"/>
      <c r="L209" s="380"/>
      <c r="M209" s="394"/>
      <c r="N209" s="382"/>
      <c r="O209" s="382"/>
      <c r="P209" s="382"/>
      <c r="Q209" s="382"/>
      <c r="R209" s="382"/>
      <c r="S209" s="382"/>
      <c r="T209" s="382"/>
      <c r="U209" s="382"/>
      <c r="V209" s="382"/>
      <c r="W209" s="382"/>
      <c r="X209" s="382"/>
      <c r="Y209" s="382"/>
      <c r="Z209" s="382"/>
      <c r="AA209" s="382"/>
      <c r="AB209" s="382"/>
      <c r="AC209" s="382"/>
      <c r="AD209" s="382"/>
      <c r="AE209" s="382"/>
      <c r="AF209" s="382"/>
      <c r="AG209" s="382"/>
      <c r="AH209" s="382"/>
      <c r="AI209" s="382"/>
      <c r="AJ209" s="382"/>
      <c r="AK209" s="382"/>
      <c r="AL209" s="383"/>
      <c r="AM209" s="384"/>
      <c r="AN209" s="384"/>
      <c r="AO209" s="405"/>
      <c r="AP209" s="405"/>
      <c r="AQ209" s="410"/>
      <c r="AR209" s="410"/>
      <c r="AS209" s="415"/>
      <c r="AT209" s="415"/>
      <c r="AU209" s="440"/>
      <c r="AV209" s="440"/>
      <c r="AW209" s="500"/>
      <c r="AX209" s="500"/>
      <c r="AY209" s="390"/>
      <c r="AZ209" s="391"/>
      <c r="BA209" s="355"/>
      <c r="BB209" s="451" t="s">
        <v>436</v>
      </c>
      <c r="BC209" s="451"/>
      <c r="BD209" s="86">
        <f t="shared" si="105"/>
        <v>0</v>
      </c>
      <c r="BE209" s="86">
        <f t="shared" si="106"/>
        <v>0</v>
      </c>
      <c r="BF209" s="392">
        <f t="shared" si="107"/>
        <v>0</v>
      </c>
      <c r="BG209">
        <f t="shared" si="108"/>
        <v>0</v>
      </c>
    </row>
    <row r="210" spans="1:59" ht="15.75" customHeight="1">
      <c r="A210" s="531"/>
      <c r="B210" s="532"/>
      <c r="C210" s="395"/>
      <c r="D210" s="441" t="s">
        <v>437</v>
      </c>
      <c r="E210" s="442">
        <v>0.11</v>
      </c>
      <c r="F210" s="442">
        <f t="shared" si="109"/>
        <v>0.715</v>
      </c>
      <c r="G210" s="443">
        <f t="shared" si="110"/>
        <v>6.5</v>
      </c>
      <c r="H210" s="442">
        <f t="shared" si="111"/>
        <v>0.825</v>
      </c>
      <c r="I210" s="442">
        <f t="shared" si="112"/>
        <v>0.9899999999999999</v>
      </c>
      <c r="J210" s="442">
        <v>1</v>
      </c>
      <c r="K210" s="379"/>
      <c r="L210" s="380"/>
      <c r="M210" s="394"/>
      <c r="N210" s="382"/>
      <c r="O210" s="382"/>
      <c r="P210" s="382"/>
      <c r="Q210" s="382"/>
      <c r="R210" s="382"/>
      <c r="S210" s="382"/>
      <c r="T210" s="382"/>
      <c r="U210" s="382"/>
      <c r="V210" s="382"/>
      <c r="W210" s="382"/>
      <c r="X210" s="382"/>
      <c r="Y210" s="382"/>
      <c r="Z210" s="382"/>
      <c r="AA210" s="382"/>
      <c r="AB210" s="382"/>
      <c r="AC210" s="382"/>
      <c r="AD210" s="382"/>
      <c r="AE210" s="382"/>
      <c r="AF210" s="382"/>
      <c r="AG210" s="382"/>
      <c r="AH210" s="382"/>
      <c r="AI210" s="382"/>
      <c r="AJ210" s="382"/>
      <c r="AK210" s="382"/>
      <c r="AL210" s="383"/>
      <c r="AM210" s="384"/>
      <c r="AN210" s="384"/>
      <c r="AO210" s="405"/>
      <c r="AP210" s="405"/>
      <c r="AQ210" s="410"/>
      <c r="AR210" s="410"/>
      <c r="AS210" s="415"/>
      <c r="AT210" s="415"/>
      <c r="AU210" s="440"/>
      <c r="AV210" s="440"/>
      <c r="AW210" s="500"/>
      <c r="AX210" s="500"/>
      <c r="AY210" s="390"/>
      <c r="AZ210" s="391"/>
      <c r="BA210" s="355"/>
      <c r="BB210" s="451" t="s">
        <v>437</v>
      </c>
      <c r="BC210" s="451"/>
      <c r="BD210" s="86">
        <f t="shared" si="105"/>
        <v>0</v>
      </c>
      <c r="BE210" s="86">
        <f t="shared" si="106"/>
        <v>0</v>
      </c>
      <c r="BF210" s="392">
        <f t="shared" si="107"/>
        <v>0</v>
      </c>
      <c r="BG210">
        <f t="shared" si="108"/>
        <v>0</v>
      </c>
    </row>
    <row r="211" spans="1:59" ht="15.75" customHeight="1">
      <c r="A211" s="531"/>
      <c r="B211" s="532"/>
      <c r="C211" s="395"/>
      <c r="D211" s="441" t="s">
        <v>438</v>
      </c>
      <c r="E211" s="442">
        <v>0.11</v>
      </c>
      <c r="F211" s="442">
        <f t="shared" si="109"/>
        <v>0.715</v>
      </c>
      <c r="G211" s="443">
        <f t="shared" si="110"/>
        <v>6.5</v>
      </c>
      <c r="H211" s="442">
        <f t="shared" si="111"/>
        <v>0.825</v>
      </c>
      <c r="I211" s="442">
        <f t="shared" si="112"/>
        <v>0.9899999999999999</v>
      </c>
      <c r="J211" s="442">
        <v>1</v>
      </c>
      <c r="K211" s="379"/>
      <c r="L211" s="380"/>
      <c r="M211" s="394"/>
      <c r="N211" s="382"/>
      <c r="O211" s="382"/>
      <c r="P211" s="382"/>
      <c r="Q211" s="382"/>
      <c r="R211" s="382"/>
      <c r="S211" s="382"/>
      <c r="T211" s="382"/>
      <c r="U211" s="382"/>
      <c r="V211" s="382"/>
      <c r="W211" s="382"/>
      <c r="X211" s="382"/>
      <c r="Y211" s="382"/>
      <c r="Z211" s="382"/>
      <c r="AA211" s="382"/>
      <c r="AB211" s="382"/>
      <c r="AC211" s="382"/>
      <c r="AD211" s="382"/>
      <c r="AE211" s="382"/>
      <c r="AF211" s="382"/>
      <c r="AG211" s="382"/>
      <c r="AH211" s="382"/>
      <c r="AI211" s="382"/>
      <c r="AJ211" s="382"/>
      <c r="AK211" s="382"/>
      <c r="AL211" s="383"/>
      <c r="AM211" s="384"/>
      <c r="AN211" s="384"/>
      <c r="AO211" s="405"/>
      <c r="AP211" s="405"/>
      <c r="AQ211" s="410"/>
      <c r="AR211" s="410"/>
      <c r="AS211" s="415"/>
      <c r="AT211" s="415"/>
      <c r="AU211" s="440"/>
      <c r="AV211" s="440"/>
      <c r="AW211" s="500"/>
      <c r="AX211" s="500"/>
      <c r="AY211" s="390"/>
      <c r="AZ211" s="391"/>
      <c r="BA211" s="355"/>
      <c r="BB211" s="451" t="s">
        <v>438</v>
      </c>
      <c r="BC211" s="451"/>
      <c r="BD211" s="86">
        <f t="shared" si="105"/>
        <v>0</v>
      </c>
      <c r="BE211" s="86">
        <f t="shared" si="106"/>
        <v>0</v>
      </c>
      <c r="BF211" s="392">
        <f t="shared" si="107"/>
        <v>0</v>
      </c>
      <c r="BG211">
        <f t="shared" si="108"/>
        <v>0</v>
      </c>
    </row>
    <row r="212" spans="1:59" ht="15.75" customHeight="1">
      <c r="A212" s="531"/>
      <c r="B212" s="532"/>
      <c r="C212" s="395"/>
      <c r="D212" s="441" t="s">
        <v>439</v>
      </c>
      <c r="E212" s="442">
        <v>0.11</v>
      </c>
      <c r="F212" s="442">
        <f t="shared" si="109"/>
        <v>0.715</v>
      </c>
      <c r="G212" s="443">
        <f t="shared" si="110"/>
        <v>6.5</v>
      </c>
      <c r="H212" s="442">
        <f t="shared" si="111"/>
        <v>0.825</v>
      </c>
      <c r="I212" s="442">
        <f t="shared" si="112"/>
        <v>0.9899999999999999</v>
      </c>
      <c r="J212" s="442">
        <v>1</v>
      </c>
      <c r="K212" s="379"/>
      <c r="L212" s="380"/>
      <c r="M212" s="394"/>
      <c r="N212" s="382"/>
      <c r="O212" s="382"/>
      <c r="P212" s="382"/>
      <c r="Q212" s="382"/>
      <c r="R212" s="382"/>
      <c r="S212" s="382"/>
      <c r="T212" s="382"/>
      <c r="U212" s="382"/>
      <c r="V212" s="382"/>
      <c r="W212" s="382"/>
      <c r="X212" s="382"/>
      <c r="Y212" s="382"/>
      <c r="Z212" s="382"/>
      <c r="AA212" s="382"/>
      <c r="AB212" s="382"/>
      <c r="AC212" s="382"/>
      <c r="AD212" s="382"/>
      <c r="AE212" s="382"/>
      <c r="AF212" s="382"/>
      <c r="AG212" s="382"/>
      <c r="AH212" s="382"/>
      <c r="AI212" s="382"/>
      <c r="AJ212" s="382"/>
      <c r="AK212" s="382"/>
      <c r="AL212" s="383"/>
      <c r="AM212" s="384"/>
      <c r="AN212" s="384"/>
      <c r="AO212" s="405"/>
      <c r="AP212" s="405"/>
      <c r="AQ212" s="410"/>
      <c r="AR212" s="410"/>
      <c r="AS212" s="415"/>
      <c r="AT212" s="415"/>
      <c r="AU212" s="440"/>
      <c r="AV212" s="440"/>
      <c r="AW212" s="500"/>
      <c r="AX212" s="500"/>
      <c r="AY212" s="390"/>
      <c r="AZ212" s="391"/>
      <c r="BA212" s="355"/>
      <c r="BB212" s="451" t="s">
        <v>439</v>
      </c>
      <c r="BC212" s="451"/>
      <c r="BD212" s="86">
        <f t="shared" si="105"/>
        <v>0</v>
      </c>
      <c r="BE212" s="86">
        <f t="shared" si="106"/>
        <v>0</v>
      </c>
      <c r="BF212" s="392">
        <f t="shared" si="107"/>
        <v>0</v>
      </c>
      <c r="BG212">
        <f t="shared" si="108"/>
        <v>0</v>
      </c>
    </row>
    <row r="213" spans="1:59" ht="27.75" customHeight="1">
      <c r="A213" s="531"/>
      <c r="B213" s="532"/>
      <c r="C213" s="532"/>
      <c r="D213" s="451" t="s">
        <v>440</v>
      </c>
      <c r="E213" s="533"/>
      <c r="F213" s="377"/>
      <c r="G213" s="379"/>
      <c r="H213" s="377"/>
      <c r="I213" s="377"/>
      <c r="J213" s="378"/>
      <c r="K213" s="379"/>
      <c r="L213" s="380"/>
      <c r="M213" s="394"/>
      <c r="N213" s="382"/>
      <c r="O213" s="382"/>
      <c r="P213" s="382"/>
      <c r="Q213" s="382"/>
      <c r="R213" s="382"/>
      <c r="S213" s="382"/>
      <c r="T213" s="382"/>
      <c r="U213" s="382"/>
      <c r="V213" s="382"/>
      <c r="W213" s="382"/>
      <c r="X213" s="382"/>
      <c r="Y213" s="382"/>
      <c r="Z213" s="382"/>
      <c r="AA213" s="382"/>
      <c r="AB213" s="382"/>
      <c r="AC213" s="382"/>
      <c r="AD213" s="382"/>
      <c r="AE213" s="382"/>
      <c r="AF213" s="382"/>
      <c r="AG213" s="382"/>
      <c r="AH213" s="382"/>
      <c r="AI213" s="382"/>
      <c r="AJ213" s="382"/>
      <c r="AK213" s="382"/>
      <c r="AL213" s="383"/>
      <c r="AM213" s="384"/>
      <c r="AN213" s="384"/>
      <c r="AO213" s="405"/>
      <c r="AP213" s="405"/>
      <c r="AQ213" s="410"/>
      <c r="AR213" s="410"/>
      <c r="AS213" s="415"/>
      <c r="AT213" s="415"/>
      <c r="AU213" s="440"/>
      <c r="AV213" s="400"/>
      <c r="AW213" s="500"/>
      <c r="AX213" s="500"/>
      <c r="AY213" s="390"/>
      <c r="AZ213" s="391"/>
      <c r="BA213" s="355"/>
      <c r="BB213" s="451" t="s">
        <v>440</v>
      </c>
      <c r="BC213" s="451"/>
      <c r="BD213" s="86">
        <f t="shared" si="105"/>
        <v>0</v>
      </c>
      <c r="BE213" s="86">
        <f t="shared" si="106"/>
        <v>0</v>
      </c>
      <c r="BF213" s="392">
        <f t="shared" si="107"/>
        <v>0</v>
      </c>
      <c r="BG213">
        <f t="shared" si="108"/>
        <v>0</v>
      </c>
    </row>
    <row r="214" spans="1:58" ht="27.75" customHeight="1">
      <c r="A214" s="531"/>
      <c r="B214" s="532"/>
      <c r="C214" s="532"/>
      <c r="D214" s="489" t="s">
        <v>441</v>
      </c>
      <c r="E214" s="442">
        <f>130/500</f>
        <v>0.26</v>
      </c>
      <c r="F214" s="442">
        <f>E214*5.5</f>
        <v>1.4300000000000002</v>
      </c>
      <c r="G214" s="443">
        <f aca="true" t="shared" si="113" ref="G214:G215">F214/E214</f>
        <v>5.5</v>
      </c>
      <c r="H214" s="442">
        <f aca="true" t="shared" si="114" ref="H214:H215">E214+F214</f>
        <v>1.6900000000000002</v>
      </c>
      <c r="I214" s="442">
        <f aca="true" t="shared" si="115" ref="I214:I215">H214*1.2</f>
        <v>2.028</v>
      </c>
      <c r="J214" s="442">
        <v>2</v>
      </c>
      <c r="K214" s="379"/>
      <c r="L214" s="380"/>
      <c r="M214" s="394"/>
      <c r="N214" s="382"/>
      <c r="O214" s="382"/>
      <c r="P214" s="382"/>
      <c r="Q214" s="382"/>
      <c r="R214" s="382"/>
      <c r="S214" s="382"/>
      <c r="T214" s="382"/>
      <c r="U214" s="382"/>
      <c r="V214" s="382"/>
      <c r="W214" s="382"/>
      <c r="X214" s="382"/>
      <c r="Y214" s="382"/>
      <c r="Z214" s="382"/>
      <c r="AA214" s="382"/>
      <c r="AB214" s="382"/>
      <c r="AC214" s="382"/>
      <c r="AD214" s="382"/>
      <c r="AE214" s="382"/>
      <c r="AF214" s="382"/>
      <c r="AG214" s="382"/>
      <c r="AH214" s="382"/>
      <c r="AI214" s="382"/>
      <c r="AJ214" s="382"/>
      <c r="AK214" s="382"/>
      <c r="AL214" s="383"/>
      <c r="AM214" s="384"/>
      <c r="AN214" s="384"/>
      <c r="AO214" s="405"/>
      <c r="AP214" s="405"/>
      <c r="AQ214" s="410"/>
      <c r="AR214" s="410"/>
      <c r="AS214" s="415"/>
      <c r="AT214" s="415"/>
      <c r="AU214" s="440"/>
      <c r="AV214" s="400"/>
      <c r="AW214" s="500"/>
      <c r="AX214" s="500"/>
      <c r="AY214" s="390"/>
      <c r="AZ214" s="391"/>
      <c r="BA214" s="355"/>
      <c r="BB214" s="451"/>
      <c r="BC214" s="451"/>
      <c r="BD214" s="86"/>
      <c r="BE214" s="86"/>
      <c r="BF214" s="392"/>
    </row>
    <row r="215" spans="1:58" ht="27.75" customHeight="1">
      <c r="A215" s="531"/>
      <c r="B215" s="532"/>
      <c r="C215" s="532"/>
      <c r="D215" s="489" t="s">
        <v>442</v>
      </c>
      <c r="E215" s="442">
        <f>120/300</f>
        <v>0.4</v>
      </c>
      <c r="F215" s="442">
        <f>E215*1.1</f>
        <v>0.44000000000000006</v>
      </c>
      <c r="G215" s="443">
        <f t="shared" si="113"/>
        <v>1.1</v>
      </c>
      <c r="H215" s="442">
        <f t="shared" si="114"/>
        <v>0.8400000000000001</v>
      </c>
      <c r="I215" s="442">
        <f t="shared" si="115"/>
        <v>1.008</v>
      </c>
      <c r="J215" s="442">
        <v>1</v>
      </c>
      <c r="K215" s="379"/>
      <c r="L215" s="380"/>
      <c r="M215" s="394"/>
      <c r="N215" s="382"/>
      <c r="O215" s="382"/>
      <c r="P215" s="382"/>
      <c r="Q215" s="382"/>
      <c r="R215" s="382"/>
      <c r="S215" s="382"/>
      <c r="T215" s="382"/>
      <c r="U215" s="382"/>
      <c r="V215" s="382"/>
      <c r="W215" s="382"/>
      <c r="X215" s="382"/>
      <c r="Y215" s="382"/>
      <c r="Z215" s="382"/>
      <c r="AA215" s="382"/>
      <c r="AB215" s="382"/>
      <c r="AC215" s="382"/>
      <c r="AD215" s="382"/>
      <c r="AE215" s="382"/>
      <c r="AF215" s="382"/>
      <c r="AG215" s="382"/>
      <c r="AH215" s="382"/>
      <c r="AI215" s="382"/>
      <c r="AJ215" s="382"/>
      <c r="AK215" s="382"/>
      <c r="AL215" s="383"/>
      <c r="AM215" s="384"/>
      <c r="AN215" s="384"/>
      <c r="AO215" s="405"/>
      <c r="AP215" s="405"/>
      <c r="AQ215" s="410"/>
      <c r="AR215" s="410"/>
      <c r="AS215" s="415"/>
      <c r="AT215" s="415"/>
      <c r="AU215" s="440"/>
      <c r="AV215" s="400"/>
      <c r="AW215" s="500"/>
      <c r="AX215" s="500"/>
      <c r="AY215" s="390"/>
      <c r="AZ215" s="391"/>
      <c r="BA215" s="355"/>
      <c r="BB215" s="451"/>
      <c r="BC215" s="451"/>
      <c r="BD215" s="86"/>
      <c r="BE215" s="86"/>
      <c r="BF215" s="392"/>
    </row>
    <row r="216" spans="1:58" ht="27.75" customHeight="1">
      <c r="A216" s="531"/>
      <c r="B216" s="532" t="s">
        <v>443</v>
      </c>
      <c r="C216" s="532"/>
      <c r="D216" s="534" t="s">
        <v>444</v>
      </c>
      <c r="E216" s="377" t="s">
        <v>412</v>
      </c>
      <c r="F216" s="377"/>
      <c r="G216" s="377"/>
      <c r="H216" s="377"/>
      <c r="I216" s="377"/>
      <c r="J216" s="378">
        <v>1</v>
      </c>
      <c r="K216" s="379"/>
      <c r="L216" s="380"/>
      <c r="M216" s="394"/>
      <c r="N216" s="382"/>
      <c r="O216" s="382"/>
      <c r="P216" s="382"/>
      <c r="Q216" s="382"/>
      <c r="R216" s="382"/>
      <c r="S216" s="382"/>
      <c r="T216" s="382"/>
      <c r="U216" s="382"/>
      <c r="V216" s="382"/>
      <c r="W216" s="382"/>
      <c r="X216" s="382"/>
      <c r="Y216" s="382"/>
      <c r="Z216" s="382"/>
      <c r="AA216" s="382"/>
      <c r="AB216" s="382"/>
      <c r="AC216" s="382"/>
      <c r="AD216" s="382"/>
      <c r="AE216" s="382"/>
      <c r="AF216" s="382"/>
      <c r="AG216" s="382"/>
      <c r="AH216" s="382"/>
      <c r="AI216" s="382"/>
      <c r="AJ216" s="382"/>
      <c r="AK216" s="382"/>
      <c r="AL216" s="383"/>
      <c r="AM216" s="384"/>
      <c r="AN216" s="384"/>
      <c r="AO216" s="405"/>
      <c r="AP216" s="405"/>
      <c r="AQ216" s="410"/>
      <c r="AR216" s="410"/>
      <c r="AS216" s="415"/>
      <c r="AT216" s="415"/>
      <c r="AU216" s="440"/>
      <c r="AV216" s="400"/>
      <c r="AW216" s="500"/>
      <c r="AX216" s="500"/>
      <c r="AY216" s="390"/>
      <c r="AZ216" s="391"/>
      <c r="BA216" s="355"/>
      <c r="BB216" s="451"/>
      <c r="BC216" s="451"/>
      <c r="BD216" s="86"/>
      <c r="BE216" s="86"/>
      <c r="BF216" s="392"/>
    </row>
    <row r="217" spans="1:58" ht="27.75" customHeight="1">
      <c r="A217" s="531"/>
      <c r="B217" s="532"/>
      <c r="C217" s="532"/>
      <c r="D217" s="534" t="s">
        <v>445</v>
      </c>
      <c r="E217" s="377" t="s">
        <v>412</v>
      </c>
      <c r="F217" s="377"/>
      <c r="G217" s="377"/>
      <c r="H217" s="377"/>
      <c r="I217" s="377"/>
      <c r="J217" s="378">
        <v>1</v>
      </c>
      <c r="K217" s="379"/>
      <c r="L217" s="380"/>
      <c r="M217" s="394"/>
      <c r="N217" s="382"/>
      <c r="O217" s="382"/>
      <c r="P217" s="382"/>
      <c r="Q217" s="382"/>
      <c r="R217" s="382"/>
      <c r="S217" s="382"/>
      <c r="T217" s="382"/>
      <c r="U217" s="382"/>
      <c r="V217" s="382"/>
      <c r="W217" s="382"/>
      <c r="X217" s="382"/>
      <c r="Y217" s="382"/>
      <c r="Z217" s="382"/>
      <c r="AA217" s="382"/>
      <c r="AB217" s="382"/>
      <c r="AC217" s="382"/>
      <c r="AD217" s="382"/>
      <c r="AE217" s="382"/>
      <c r="AF217" s="382"/>
      <c r="AG217" s="382"/>
      <c r="AH217" s="382"/>
      <c r="AI217" s="382"/>
      <c r="AJ217" s="382"/>
      <c r="AK217" s="382"/>
      <c r="AL217" s="383"/>
      <c r="AM217" s="384"/>
      <c r="AN217" s="384"/>
      <c r="AO217" s="405"/>
      <c r="AP217" s="405"/>
      <c r="AQ217" s="410"/>
      <c r="AR217" s="410"/>
      <c r="AS217" s="415"/>
      <c r="AT217" s="415"/>
      <c r="AU217" s="440"/>
      <c r="AV217" s="400"/>
      <c r="AW217" s="500"/>
      <c r="AX217" s="500"/>
      <c r="AY217" s="390"/>
      <c r="AZ217" s="391"/>
      <c r="BA217" s="355"/>
      <c r="BB217" s="451"/>
      <c r="BC217" s="451"/>
      <c r="BD217" s="86"/>
      <c r="BE217" s="86"/>
      <c r="BF217" s="392"/>
    </row>
    <row r="218" spans="1:58" ht="27.75" customHeight="1">
      <c r="A218" s="535"/>
      <c r="B218" s="532" t="s">
        <v>446</v>
      </c>
      <c r="C218" s="532"/>
      <c r="D218" s="536" t="s">
        <v>447</v>
      </c>
      <c r="E218" s="537" t="s">
        <v>412</v>
      </c>
      <c r="F218" s="537"/>
      <c r="G218" s="537"/>
      <c r="H218" s="537"/>
      <c r="I218" s="537"/>
      <c r="J218" s="538">
        <v>5</v>
      </c>
      <c r="K218" s="379"/>
      <c r="L218" s="380"/>
      <c r="M218" s="394"/>
      <c r="N218" s="382"/>
      <c r="O218" s="382"/>
      <c r="P218" s="382"/>
      <c r="Q218" s="382"/>
      <c r="R218" s="382"/>
      <c r="S218" s="382"/>
      <c r="T218" s="382"/>
      <c r="U218" s="382"/>
      <c r="V218" s="382"/>
      <c r="W218" s="382"/>
      <c r="X218" s="382"/>
      <c r="Y218" s="382"/>
      <c r="Z218" s="382"/>
      <c r="AA218" s="382"/>
      <c r="AB218" s="382"/>
      <c r="AC218" s="382"/>
      <c r="AD218" s="382"/>
      <c r="AE218" s="382"/>
      <c r="AF218" s="382"/>
      <c r="AG218" s="382"/>
      <c r="AH218" s="382"/>
      <c r="AI218" s="382"/>
      <c r="AJ218" s="382"/>
      <c r="AK218" s="382"/>
      <c r="AL218" s="383"/>
      <c r="AM218" s="384"/>
      <c r="AN218" s="384"/>
      <c r="AO218" s="405"/>
      <c r="AP218" s="405"/>
      <c r="AQ218" s="410"/>
      <c r="AR218" s="410"/>
      <c r="AS218" s="415"/>
      <c r="AT218" s="415"/>
      <c r="AU218" s="440"/>
      <c r="AV218" s="400"/>
      <c r="AW218" s="500"/>
      <c r="AX218" s="500"/>
      <c r="AY218" s="390"/>
      <c r="AZ218" s="391"/>
      <c r="BA218" s="355"/>
      <c r="BB218" s="451"/>
      <c r="BC218" s="451"/>
      <c r="BD218" s="86"/>
      <c r="BE218" s="86"/>
      <c r="BF218" s="392"/>
    </row>
    <row r="219" spans="1:58" ht="27.75" customHeight="1">
      <c r="A219" s="535"/>
      <c r="B219" s="532"/>
      <c r="C219" s="532"/>
      <c r="D219" s="460" t="s">
        <v>448</v>
      </c>
      <c r="E219" s="539" t="s">
        <v>278</v>
      </c>
      <c r="F219" s="539"/>
      <c r="G219" s="539"/>
      <c r="H219" s="539"/>
      <c r="I219" s="539"/>
      <c r="J219" s="461">
        <v>5</v>
      </c>
      <c r="K219" s="379"/>
      <c r="L219" s="380"/>
      <c r="M219" s="394"/>
      <c r="N219" s="382"/>
      <c r="O219" s="382"/>
      <c r="P219" s="382"/>
      <c r="Q219" s="382"/>
      <c r="R219" s="382"/>
      <c r="S219" s="382"/>
      <c r="T219" s="382"/>
      <c r="U219" s="382"/>
      <c r="V219" s="382"/>
      <c r="W219" s="382"/>
      <c r="X219" s="382"/>
      <c r="Y219" s="382"/>
      <c r="Z219" s="382"/>
      <c r="AA219" s="382"/>
      <c r="AB219" s="382"/>
      <c r="AC219" s="382"/>
      <c r="AD219" s="382"/>
      <c r="AE219" s="382"/>
      <c r="AF219" s="382"/>
      <c r="AG219" s="382"/>
      <c r="AH219" s="382"/>
      <c r="AI219" s="382"/>
      <c r="AJ219" s="382"/>
      <c r="AK219" s="382"/>
      <c r="AL219" s="383"/>
      <c r="AM219" s="384"/>
      <c r="AN219" s="384"/>
      <c r="AO219" s="405"/>
      <c r="AP219" s="405"/>
      <c r="AQ219" s="410"/>
      <c r="AR219" s="410"/>
      <c r="AS219" s="415"/>
      <c r="AT219" s="415"/>
      <c r="AU219" s="440"/>
      <c r="AV219" s="400"/>
      <c r="AW219" s="500"/>
      <c r="AX219" s="500"/>
      <c r="AY219" s="390"/>
      <c r="AZ219" s="391"/>
      <c r="BA219" s="355"/>
      <c r="BB219" s="451"/>
      <c r="BC219" s="451"/>
      <c r="BD219" s="86"/>
      <c r="BE219" s="86"/>
      <c r="BF219" s="392"/>
    </row>
    <row r="220" spans="1:58" ht="27.75" customHeight="1">
      <c r="A220" s="535"/>
      <c r="B220" s="532"/>
      <c r="C220" s="532"/>
      <c r="D220" s="460" t="s">
        <v>449</v>
      </c>
      <c r="E220" s="539"/>
      <c r="F220" s="539"/>
      <c r="G220" s="539"/>
      <c r="H220" s="539"/>
      <c r="I220" s="539"/>
      <c r="J220" s="461">
        <v>3</v>
      </c>
      <c r="K220" s="379"/>
      <c r="L220" s="380"/>
      <c r="M220" s="394"/>
      <c r="N220" s="382"/>
      <c r="O220" s="382"/>
      <c r="P220" s="382"/>
      <c r="Q220" s="382"/>
      <c r="R220" s="382"/>
      <c r="S220" s="382"/>
      <c r="T220" s="382"/>
      <c r="U220" s="382"/>
      <c r="V220" s="382"/>
      <c r="W220" s="382"/>
      <c r="X220" s="382"/>
      <c r="Y220" s="382"/>
      <c r="Z220" s="382"/>
      <c r="AA220" s="382"/>
      <c r="AB220" s="382"/>
      <c r="AC220" s="382"/>
      <c r="AD220" s="382"/>
      <c r="AE220" s="382"/>
      <c r="AF220" s="382"/>
      <c r="AG220" s="382"/>
      <c r="AH220" s="382"/>
      <c r="AI220" s="382"/>
      <c r="AJ220" s="382"/>
      <c r="AK220" s="382"/>
      <c r="AL220" s="383"/>
      <c r="AM220" s="384"/>
      <c r="AN220" s="384"/>
      <c r="AO220" s="405"/>
      <c r="AP220" s="405"/>
      <c r="AQ220" s="410"/>
      <c r="AR220" s="410"/>
      <c r="AS220" s="415"/>
      <c r="AT220" s="415"/>
      <c r="AU220" s="440"/>
      <c r="AV220" s="400"/>
      <c r="AW220" s="500"/>
      <c r="AX220" s="500"/>
      <c r="AY220" s="390"/>
      <c r="AZ220" s="391"/>
      <c r="BA220" s="355"/>
      <c r="BB220" s="451"/>
      <c r="BC220" s="451"/>
      <c r="BD220" s="86"/>
      <c r="BE220" s="86"/>
      <c r="BF220" s="392"/>
    </row>
    <row r="221" spans="1:58" ht="27.75" customHeight="1">
      <c r="A221" s="535"/>
      <c r="B221" s="532"/>
      <c r="C221" s="532"/>
      <c r="D221" s="460" t="s">
        <v>450</v>
      </c>
      <c r="E221" s="539"/>
      <c r="F221" s="539"/>
      <c r="G221" s="539"/>
      <c r="H221" s="539"/>
      <c r="I221" s="539"/>
      <c r="J221" s="461">
        <v>2.5</v>
      </c>
      <c r="K221" s="379"/>
      <c r="L221" s="380"/>
      <c r="M221" s="394"/>
      <c r="N221" s="382"/>
      <c r="O221" s="382"/>
      <c r="P221" s="382"/>
      <c r="Q221" s="382"/>
      <c r="R221" s="382"/>
      <c r="S221" s="382"/>
      <c r="T221" s="382"/>
      <c r="U221" s="382"/>
      <c r="V221" s="382"/>
      <c r="W221" s="382"/>
      <c r="X221" s="382"/>
      <c r="Y221" s="382"/>
      <c r="Z221" s="382"/>
      <c r="AA221" s="382"/>
      <c r="AB221" s="382"/>
      <c r="AC221" s="382"/>
      <c r="AD221" s="382"/>
      <c r="AE221" s="382"/>
      <c r="AF221" s="382"/>
      <c r="AG221" s="382"/>
      <c r="AH221" s="382"/>
      <c r="AI221" s="382"/>
      <c r="AJ221" s="382"/>
      <c r="AK221" s="382"/>
      <c r="AL221" s="383"/>
      <c r="AM221" s="384"/>
      <c r="AN221" s="384"/>
      <c r="AO221" s="405"/>
      <c r="AP221" s="405"/>
      <c r="AQ221" s="410"/>
      <c r="AR221" s="410"/>
      <c r="AS221" s="415"/>
      <c r="AT221" s="415"/>
      <c r="AU221" s="440"/>
      <c r="AV221" s="400"/>
      <c r="AW221" s="500"/>
      <c r="AX221" s="500"/>
      <c r="AY221" s="390"/>
      <c r="AZ221" s="391"/>
      <c r="BA221" s="355"/>
      <c r="BB221" s="451"/>
      <c r="BC221" s="451"/>
      <c r="BD221" s="86"/>
      <c r="BE221" s="86"/>
      <c r="BF221" s="392"/>
    </row>
    <row r="222" spans="1:58" ht="27.75" customHeight="1">
      <c r="A222" s="535"/>
      <c r="B222" s="532"/>
      <c r="C222" s="532"/>
      <c r="D222" s="460" t="s">
        <v>451</v>
      </c>
      <c r="E222" s="539"/>
      <c r="F222" s="539"/>
      <c r="G222" s="539"/>
      <c r="H222" s="539"/>
      <c r="I222" s="539"/>
      <c r="J222" s="461">
        <v>6</v>
      </c>
      <c r="K222" s="379"/>
      <c r="L222" s="380"/>
      <c r="M222" s="394"/>
      <c r="N222" s="382"/>
      <c r="O222" s="382"/>
      <c r="P222" s="382"/>
      <c r="Q222" s="382"/>
      <c r="R222" s="382"/>
      <c r="S222" s="382"/>
      <c r="T222" s="382"/>
      <c r="U222" s="382"/>
      <c r="V222" s="382"/>
      <c r="W222" s="382"/>
      <c r="X222" s="382"/>
      <c r="Y222" s="382"/>
      <c r="Z222" s="382"/>
      <c r="AA222" s="382"/>
      <c r="AB222" s="382"/>
      <c r="AC222" s="382"/>
      <c r="AD222" s="382"/>
      <c r="AE222" s="382"/>
      <c r="AF222" s="382"/>
      <c r="AG222" s="382"/>
      <c r="AH222" s="382"/>
      <c r="AI222" s="382"/>
      <c r="AJ222" s="382"/>
      <c r="AK222" s="382"/>
      <c r="AL222" s="383"/>
      <c r="AM222" s="384"/>
      <c r="AN222" s="384"/>
      <c r="AO222" s="405"/>
      <c r="AP222" s="405"/>
      <c r="AQ222" s="410"/>
      <c r="AR222" s="410"/>
      <c r="AS222" s="415"/>
      <c r="AT222" s="415"/>
      <c r="AU222" s="440"/>
      <c r="AV222" s="400"/>
      <c r="AW222" s="500"/>
      <c r="AX222" s="500"/>
      <c r="AY222" s="390"/>
      <c r="AZ222" s="391"/>
      <c r="BA222" s="355"/>
      <c r="BB222" s="451"/>
      <c r="BC222" s="451"/>
      <c r="BD222" s="86"/>
      <c r="BE222" s="86"/>
      <c r="BF222" s="392"/>
    </row>
    <row r="223" spans="1:58" ht="27.75" customHeight="1">
      <c r="A223" s="535"/>
      <c r="B223" s="532"/>
      <c r="C223" s="532"/>
      <c r="D223" s="460" t="s">
        <v>452</v>
      </c>
      <c r="E223" s="539"/>
      <c r="F223" s="539"/>
      <c r="G223" s="539"/>
      <c r="H223" s="539"/>
      <c r="I223" s="539"/>
      <c r="J223" s="461">
        <v>5</v>
      </c>
      <c r="K223" s="379"/>
      <c r="L223" s="380"/>
      <c r="M223" s="394"/>
      <c r="N223" s="382"/>
      <c r="O223" s="382"/>
      <c r="P223" s="382"/>
      <c r="Q223" s="382"/>
      <c r="R223" s="382"/>
      <c r="S223" s="382"/>
      <c r="T223" s="382"/>
      <c r="U223" s="382"/>
      <c r="V223" s="382"/>
      <c r="W223" s="382"/>
      <c r="X223" s="382"/>
      <c r="Y223" s="382"/>
      <c r="Z223" s="382"/>
      <c r="AA223" s="382"/>
      <c r="AB223" s="382"/>
      <c r="AC223" s="382"/>
      <c r="AD223" s="382"/>
      <c r="AE223" s="382"/>
      <c r="AF223" s="382"/>
      <c r="AG223" s="382"/>
      <c r="AH223" s="382"/>
      <c r="AI223" s="382"/>
      <c r="AJ223" s="382"/>
      <c r="AK223" s="382"/>
      <c r="AL223" s="383"/>
      <c r="AM223" s="384"/>
      <c r="AN223" s="384"/>
      <c r="AO223" s="405"/>
      <c r="AP223" s="405"/>
      <c r="AQ223" s="410"/>
      <c r="AR223" s="410"/>
      <c r="AS223" s="415"/>
      <c r="AT223" s="415"/>
      <c r="AU223" s="440"/>
      <c r="AV223" s="400"/>
      <c r="AW223" s="500"/>
      <c r="AX223" s="500"/>
      <c r="AY223" s="390"/>
      <c r="AZ223" s="391"/>
      <c r="BA223" s="355"/>
      <c r="BB223" s="451"/>
      <c r="BC223" s="451"/>
      <c r="BD223" s="86"/>
      <c r="BE223" s="86"/>
      <c r="BF223" s="392"/>
    </row>
    <row r="224" spans="1:58" ht="27.75" customHeight="1">
      <c r="A224" s="535"/>
      <c r="B224" s="532"/>
      <c r="C224" s="532"/>
      <c r="D224" s="460" t="s">
        <v>453</v>
      </c>
      <c r="E224" s="539"/>
      <c r="F224" s="539"/>
      <c r="G224" s="539"/>
      <c r="H224" s="539"/>
      <c r="I224" s="539"/>
      <c r="J224" s="461">
        <v>4</v>
      </c>
      <c r="K224" s="379"/>
      <c r="L224" s="380"/>
      <c r="M224" s="394"/>
      <c r="N224" s="382"/>
      <c r="O224" s="382"/>
      <c r="P224" s="382"/>
      <c r="Q224" s="382"/>
      <c r="R224" s="382"/>
      <c r="S224" s="382"/>
      <c r="T224" s="382"/>
      <c r="U224" s="382"/>
      <c r="V224" s="382"/>
      <c r="W224" s="382"/>
      <c r="X224" s="382"/>
      <c r="Y224" s="382"/>
      <c r="Z224" s="382"/>
      <c r="AA224" s="382"/>
      <c r="AB224" s="382"/>
      <c r="AC224" s="382"/>
      <c r="AD224" s="382"/>
      <c r="AE224" s="382"/>
      <c r="AF224" s="382"/>
      <c r="AG224" s="382"/>
      <c r="AH224" s="382"/>
      <c r="AI224" s="382"/>
      <c r="AJ224" s="382"/>
      <c r="AK224" s="382"/>
      <c r="AL224" s="383"/>
      <c r="AM224" s="384"/>
      <c r="AN224" s="384"/>
      <c r="AO224" s="405"/>
      <c r="AP224" s="405"/>
      <c r="AQ224" s="410"/>
      <c r="AR224" s="410"/>
      <c r="AS224" s="415"/>
      <c r="AT224" s="415"/>
      <c r="AU224" s="440"/>
      <c r="AV224" s="400"/>
      <c r="AW224" s="500"/>
      <c r="AX224" s="500"/>
      <c r="AY224" s="390"/>
      <c r="AZ224" s="391"/>
      <c r="BA224" s="355"/>
      <c r="BB224" s="451"/>
      <c r="BC224" s="451"/>
      <c r="BD224" s="86"/>
      <c r="BE224" s="86"/>
      <c r="BF224" s="392"/>
    </row>
    <row r="225" spans="1:58" ht="27.75" customHeight="1">
      <c r="A225" s="535"/>
      <c r="B225" s="532"/>
      <c r="C225" s="532"/>
      <c r="D225" s="460" t="s">
        <v>454</v>
      </c>
      <c r="E225" s="539"/>
      <c r="F225" s="539"/>
      <c r="G225" s="539"/>
      <c r="H225" s="539"/>
      <c r="I225" s="539"/>
      <c r="J225" s="461">
        <v>4</v>
      </c>
      <c r="K225" s="379"/>
      <c r="L225" s="380"/>
      <c r="M225" s="394"/>
      <c r="N225" s="382"/>
      <c r="O225" s="382"/>
      <c r="P225" s="382"/>
      <c r="Q225" s="382"/>
      <c r="R225" s="382"/>
      <c r="S225" s="382"/>
      <c r="T225" s="382"/>
      <c r="U225" s="382"/>
      <c r="V225" s="382"/>
      <c r="W225" s="382"/>
      <c r="X225" s="382"/>
      <c r="Y225" s="382"/>
      <c r="Z225" s="382"/>
      <c r="AA225" s="382"/>
      <c r="AB225" s="382"/>
      <c r="AC225" s="382"/>
      <c r="AD225" s="382"/>
      <c r="AE225" s="382"/>
      <c r="AF225" s="382"/>
      <c r="AG225" s="382"/>
      <c r="AH225" s="382"/>
      <c r="AI225" s="382"/>
      <c r="AJ225" s="382"/>
      <c r="AK225" s="382"/>
      <c r="AL225" s="383"/>
      <c r="AM225" s="384"/>
      <c r="AN225" s="384"/>
      <c r="AO225" s="405"/>
      <c r="AP225" s="405"/>
      <c r="AQ225" s="410"/>
      <c r="AR225" s="410"/>
      <c r="AS225" s="415"/>
      <c r="AT225" s="415"/>
      <c r="AU225" s="440"/>
      <c r="AV225" s="400"/>
      <c r="AW225" s="500"/>
      <c r="AX225" s="500"/>
      <c r="AY225" s="390"/>
      <c r="AZ225" s="391"/>
      <c r="BA225" s="355"/>
      <c r="BB225" s="451"/>
      <c r="BC225" s="451"/>
      <c r="BD225" s="86"/>
      <c r="BE225" s="86"/>
      <c r="BF225" s="392"/>
    </row>
    <row r="226" spans="1:58" ht="27.75" customHeight="1">
      <c r="A226" s="535"/>
      <c r="B226" s="532"/>
      <c r="C226" s="532"/>
      <c r="D226" s="460" t="s">
        <v>455</v>
      </c>
      <c r="E226" s="539"/>
      <c r="F226" s="539"/>
      <c r="G226" s="539"/>
      <c r="H226" s="539"/>
      <c r="I226" s="539"/>
      <c r="J226" s="461">
        <v>4</v>
      </c>
      <c r="K226" s="379"/>
      <c r="L226" s="380"/>
      <c r="M226" s="394"/>
      <c r="N226" s="382"/>
      <c r="O226" s="382"/>
      <c r="P226" s="382"/>
      <c r="Q226" s="382"/>
      <c r="R226" s="382"/>
      <c r="S226" s="382"/>
      <c r="T226" s="382"/>
      <c r="U226" s="382"/>
      <c r="V226" s="382"/>
      <c r="W226" s="382"/>
      <c r="X226" s="382"/>
      <c r="Y226" s="382"/>
      <c r="Z226" s="382"/>
      <c r="AA226" s="382"/>
      <c r="AB226" s="382"/>
      <c r="AC226" s="382"/>
      <c r="AD226" s="382"/>
      <c r="AE226" s="382"/>
      <c r="AF226" s="382"/>
      <c r="AG226" s="382"/>
      <c r="AH226" s="382"/>
      <c r="AI226" s="382"/>
      <c r="AJ226" s="382"/>
      <c r="AK226" s="382"/>
      <c r="AL226" s="383"/>
      <c r="AM226" s="384"/>
      <c r="AN226" s="384"/>
      <c r="AO226" s="405"/>
      <c r="AP226" s="405"/>
      <c r="AQ226" s="410"/>
      <c r="AR226" s="410"/>
      <c r="AS226" s="415"/>
      <c r="AT226" s="415"/>
      <c r="AU226" s="440"/>
      <c r="AV226" s="400"/>
      <c r="AW226" s="500"/>
      <c r="AX226" s="500"/>
      <c r="AY226" s="390"/>
      <c r="AZ226" s="391"/>
      <c r="BA226" s="355"/>
      <c r="BB226" s="451"/>
      <c r="BC226" s="451"/>
      <c r="BD226" s="86"/>
      <c r="BE226" s="86"/>
      <c r="BF226" s="392"/>
    </row>
    <row r="227" spans="1:58" ht="27.75" customHeight="1">
      <c r="A227" s="535"/>
      <c r="B227" s="532"/>
      <c r="C227" s="532"/>
      <c r="D227" s="460" t="s">
        <v>456</v>
      </c>
      <c r="E227" s="539"/>
      <c r="F227" s="539"/>
      <c r="G227" s="539"/>
      <c r="H227" s="539"/>
      <c r="I227" s="539"/>
      <c r="J227" s="461">
        <v>7.5</v>
      </c>
      <c r="K227" s="379"/>
      <c r="L227" s="380"/>
      <c r="M227" s="394"/>
      <c r="N227" s="382"/>
      <c r="O227" s="382"/>
      <c r="P227" s="382"/>
      <c r="Q227" s="382"/>
      <c r="R227" s="382"/>
      <c r="S227" s="382"/>
      <c r="T227" s="382"/>
      <c r="U227" s="382"/>
      <c r="V227" s="382"/>
      <c r="W227" s="382"/>
      <c r="X227" s="382"/>
      <c r="Y227" s="382"/>
      <c r="Z227" s="382"/>
      <c r="AA227" s="382"/>
      <c r="AB227" s="382"/>
      <c r="AC227" s="382"/>
      <c r="AD227" s="382"/>
      <c r="AE227" s="382"/>
      <c r="AF227" s="382"/>
      <c r="AG227" s="382"/>
      <c r="AH227" s="382"/>
      <c r="AI227" s="382"/>
      <c r="AJ227" s="382"/>
      <c r="AK227" s="382"/>
      <c r="AL227" s="383"/>
      <c r="AM227" s="384"/>
      <c r="AN227" s="384"/>
      <c r="AO227" s="405"/>
      <c r="AP227" s="405"/>
      <c r="AQ227" s="410"/>
      <c r="AR227" s="410"/>
      <c r="AS227" s="415"/>
      <c r="AT227" s="415"/>
      <c r="AU227" s="440"/>
      <c r="AV227" s="400"/>
      <c r="AW227" s="500"/>
      <c r="AX227" s="500"/>
      <c r="AY227" s="390"/>
      <c r="AZ227" s="391"/>
      <c r="BA227" s="355"/>
      <c r="BB227" s="451"/>
      <c r="BC227" s="451"/>
      <c r="BD227" s="86"/>
      <c r="BE227" s="86"/>
      <c r="BF227" s="392"/>
    </row>
    <row r="228" spans="1:58" ht="27.75" customHeight="1">
      <c r="A228" s="535"/>
      <c r="B228" s="532"/>
      <c r="C228" s="532"/>
      <c r="D228" s="460" t="s">
        <v>457</v>
      </c>
      <c r="E228" s="539"/>
      <c r="F228" s="539"/>
      <c r="G228" s="539"/>
      <c r="H228" s="539"/>
      <c r="I228" s="539"/>
      <c r="J228" s="461">
        <v>12</v>
      </c>
      <c r="K228" s="379"/>
      <c r="L228" s="380"/>
      <c r="M228" s="394"/>
      <c r="N228" s="382"/>
      <c r="O228" s="382"/>
      <c r="P228" s="382"/>
      <c r="Q228" s="382"/>
      <c r="R228" s="382"/>
      <c r="S228" s="382"/>
      <c r="T228" s="382"/>
      <c r="U228" s="382"/>
      <c r="V228" s="382"/>
      <c r="W228" s="382"/>
      <c r="X228" s="382"/>
      <c r="Y228" s="382"/>
      <c r="Z228" s="382"/>
      <c r="AA228" s="382"/>
      <c r="AB228" s="382"/>
      <c r="AC228" s="382"/>
      <c r="AD228" s="382"/>
      <c r="AE228" s="382"/>
      <c r="AF228" s="382"/>
      <c r="AG228" s="382"/>
      <c r="AH228" s="382"/>
      <c r="AI228" s="382"/>
      <c r="AJ228" s="382"/>
      <c r="AK228" s="382"/>
      <c r="AL228" s="383"/>
      <c r="AM228" s="384"/>
      <c r="AN228" s="384"/>
      <c r="AO228" s="405"/>
      <c r="AP228" s="405"/>
      <c r="AQ228" s="410"/>
      <c r="AR228" s="410"/>
      <c r="AS228" s="415"/>
      <c r="AT228" s="415"/>
      <c r="AU228" s="440"/>
      <c r="AV228" s="400"/>
      <c r="AW228" s="500"/>
      <c r="AX228" s="500"/>
      <c r="AY228" s="390"/>
      <c r="AZ228" s="391"/>
      <c r="BA228" s="355"/>
      <c r="BB228" s="451"/>
      <c r="BC228" s="451"/>
      <c r="BD228" s="86"/>
      <c r="BE228" s="86"/>
      <c r="BF228" s="392"/>
    </row>
    <row r="229" spans="1:58" ht="27.75" customHeight="1">
      <c r="A229" s="535"/>
      <c r="B229" s="532"/>
      <c r="C229" s="532"/>
      <c r="D229" s="460" t="s">
        <v>331</v>
      </c>
      <c r="E229" s="539"/>
      <c r="F229" s="539"/>
      <c r="G229" s="539"/>
      <c r="H229" s="539"/>
      <c r="I229" s="539"/>
      <c r="J229" s="461">
        <v>10</v>
      </c>
      <c r="K229" s="379"/>
      <c r="L229" s="380"/>
      <c r="M229" s="394"/>
      <c r="N229" s="382"/>
      <c r="O229" s="382"/>
      <c r="P229" s="382"/>
      <c r="Q229" s="382"/>
      <c r="R229" s="382"/>
      <c r="S229" s="382"/>
      <c r="T229" s="382"/>
      <c r="U229" s="382"/>
      <c r="V229" s="382"/>
      <c r="W229" s="382"/>
      <c r="X229" s="382"/>
      <c r="Y229" s="382"/>
      <c r="Z229" s="382"/>
      <c r="AA229" s="382"/>
      <c r="AB229" s="382"/>
      <c r="AC229" s="382"/>
      <c r="AD229" s="382"/>
      <c r="AE229" s="382"/>
      <c r="AF229" s="382"/>
      <c r="AG229" s="382"/>
      <c r="AH229" s="382"/>
      <c r="AI229" s="382"/>
      <c r="AJ229" s="382"/>
      <c r="AK229" s="382"/>
      <c r="AL229" s="383"/>
      <c r="AM229" s="384"/>
      <c r="AN229" s="384"/>
      <c r="AO229" s="405"/>
      <c r="AP229" s="405"/>
      <c r="AQ229" s="410"/>
      <c r="AR229" s="410"/>
      <c r="AS229" s="415"/>
      <c r="AT229" s="415"/>
      <c r="AU229" s="440"/>
      <c r="AV229" s="400"/>
      <c r="AW229" s="500"/>
      <c r="AX229" s="500"/>
      <c r="AY229" s="390"/>
      <c r="AZ229" s="391"/>
      <c r="BA229" s="355"/>
      <c r="BB229" s="451"/>
      <c r="BC229" s="451"/>
      <c r="BD229" s="86"/>
      <c r="BE229" s="86"/>
      <c r="BF229" s="392"/>
    </row>
    <row r="230" spans="1:58" ht="27.75" customHeight="1">
      <c r="A230" s="535"/>
      <c r="B230" s="532"/>
      <c r="C230" s="532"/>
      <c r="D230" s="529" t="s">
        <v>458</v>
      </c>
      <c r="E230" s="539"/>
      <c r="F230" s="539"/>
      <c r="G230" s="539"/>
      <c r="H230" s="539"/>
      <c r="I230" s="539"/>
      <c r="J230" s="540">
        <v>20</v>
      </c>
      <c r="K230" s="379"/>
      <c r="L230" s="380"/>
      <c r="M230" s="394"/>
      <c r="N230" s="382"/>
      <c r="O230" s="382"/>
      <c r="P230" s="382"/>
      <c r="Q230" s="382"/>
      <c r="R230" s="382"/>
      <c r="S230" s="382"/>
      <c r="T230" s="382"/>
      <c r="U230" s="382"/>
      <c r="V230" s="382"/>
      <c r="W230" s="382"/>
      <c r="X230" s="382"/>
      <c r="Y230" s="382"/>
      <c r="Z230" s="382"/>
      <c r="AA230" s="382"/>
      <c r="AB230" s="382"/>
      <c r="AC230" s="382"/>
      <c r="AD230" s="382"/>
      <c r="AE230" s="382"/>
      <c r="AF230" s="382"/>
      <c r="AG230" s="382"/>
      <c r="AH230" s="382"/>
      <c r="AI230" s="382"/>
      <c r="AJ230" s="382"/>
      <c r="AK230" s="382"/>
      <c r="AL230" s="383"/>
      <c r="AM230" s="384"/>
      <c r="AN230" s="384"/>
      <c r="AO230" s="405"/>
      <c r="AP230" s="405"/>
      <c r="AQ230" s="410"/>
      <c r="AR230" s="410"/>
      <c r="AS230" s="415"/>
      <c r="AT230" s="415"/>
      <c r="AU230" s="440"/>
      <c r="AV230" s="400"/>
      <c r="AW230" s="500"/>
      <c r="AX230" s="500"/>
      <c r="AY230" s="390"/>
      <c r="AZ230" s="391"/>
      <c r="BA230" s="355"/>
      <c r="BB230" s="451"/>
      <c r="BC230" s="451"/>
      <c r="BD230" s="86"/>
      <c r="BE230" s="86"/>
      <c r="BF230" s="392"/>
    </row>
    <row r="231" spans="1:59" ht="27.75" customHeight="1">
      <c r="A231" s="541"/>
      <c r="B231" s="532" t="s">
        <v>15</v>
      </c>
      <c r="C231" s="532"/>
      <c r="D231" s="451" t="s">
        <v>459</v>
      </c>
      <c r="E231" s="542"/>
      <c r="F231" s="380"/>
      <c r="G231" s="543"/>
      <c r="H231" s="380"/>
      <c r="I231" s="380"/>
      <c r="J231" s="378">
        <v>2</v>
      </c>
      <c r="K231" s="379"/>
      <c r="L231" s="380"/>
      <c r="M231" s="394"/>
      <c r="N231" s="382"/>
      <c r="O231" s="382"/>
      <c r="P231" s="382"/>
      <c r="Q231" s="382"/>
      <c r="R231" s="382"/>
      <c r="S231" s="382"/>
      <c r="T231" s="382"/>
      <c r="U231" s="382"/>
      <c r="V231" s="382"/>
      <c r="W231" s="382"/>
      <c r="X231" s="382"/>
      <c r="Y231" s="382"/>
      <c r="Z231" s="382"/>
      <c r="AA231" s="382"/>
      <c r="AB231" s="382"/>
      <c r="AC231" s="382"/>
      <c r="AD231" s="382"/>
      <c r="AE231" s="382"/>
      <c r="AF231" s="382"/>
      <c r="AG231" s="382"/>
      <c r="AH231" s="382"/>
      <c r="AI231" s="382"/>
      <c r="AJ231" s="382"/>
      <c r="AK231" s="382"/>
      <c r="AL231" s="383"/>
      <c r="AM231" s="384"/>
      <c r="AN231" s="384"/>
      <c r="AO231" s="397"/>
      <c r="AP231" s="397"/>
      <c r="AQ231" s="414"/>
      <c r="AR231" s="414"/>
      <c r="AS231" s="415"/>
      <c r="AT231" s="415"/>
      <c r="AU231" s="440"/>
      <c r="AV231" s="400"/>
      <c r="AW231" s="413"/>
      <c r="AX231" s="413"/>
      <c r="AY231" s="390"/>
      <c r="AZ231" s="391"/>
      <c r="BA231" s="355"/>
      <c r="BB231" s="451" t="s">
        <v>459</v>
      </c>
      <c r="BC231" s="451"/>
      <c r="BD231" s="86">
        <f>M231+O231+Q231+S231+U231+W231+Y231+AA231+AC231+AE231+AG231+AI231+AK231</f>
        <v>0</v>
      </c>
      <c r="BE231" s="86">
        <f aca="true" t="shared" si="116" ref="BE231:BE244">AY231</f>
        <v>0</v>
      </c>
      <c r="BF231" s="392">
        <f>(BC231+BD231)-AY231</f>
        <v>0</v>
      </c>
      <c r="BG231">
        <f>IF(BF231&gt;=6,"Ok","Commande")</f>
        <v>0</v>
      </c>
    </row>
    <row r="232" spans="1:58" ht="27.75" customHeight="1">
      <c r="A232" s="541"/>
      <c r="B232" s="532" t="s">
        <v>460</v>
      </c>
      <c r="C232" s="532"/>
      <c r="D232" s="520" t="s">
        <v>461</v>
      </c>
      <c r="E232" s="504" t="s">
        <v>168</v>
      </c>
      <c r="F232" s="504"/>
      <c r="G232" s="504"/>
      <c r="H232" s="504"/>
      <c r="I232" s="504"/>
      <c r="J232" s="504">
        <v>7</v>
      </c>
      <c r="K232" s="512">
        <v>0.055</v>
      </c>
      <c r="L232" s="504" t="s">
        <v>168</v>
      </c>
      <c r="M232" s="394"/>
      <c r="N232" s="382"/>
      <c r="O232" s="382"/>
      <c r="P232" s="382"/>
      <c r="Q232" s="382"/>
      <c r="R232" s="382"/>
      <c r="S232" s="382"/>
      <c r="T232" s="382"/>
      <c r="U232" s="382"/>
      <c r="V232" s="382"/>
      <c r="W232" s="382"/>
      <c r="X232" s="382"/>
      <c r="Y232" s="382"/>
      <c r="Z232" s="382"/>
      <c r="AA232" s="382"/>
      <c r="AB232" s="382"/>
      <c r="AC232" s="382"/>
      <c r="AD232" s="382"/>
      <c r="AE232" s="382"/>
      <c r="AF232" s="382"/>
      <c r="AG232" s="382"/>
      <c r="AH232" s="382"/>
      <c r="AI232" s="382"/>
      <c r="AJ232" s="382"/>
      <c r="AK232" s="382"/>
      <c r="AL232" s="383"/>
      <c r="AM232" s="384"/>
      <c r="AN232" s="384"/>
      <c r="AO232" s="397"/>
      <c r="AP232" s="397"/>
      <c r="AQ232" s="414"/>
      <c r="AR232" s="414"/>
      <c r="AS232" s="415"/>
      <c r="AT232" s="415"/>
      <c r="AU232" s="400"/>
      <c r="AV232" s="400"/>
      <c r="AW232" s="413"/>
      <c r="AX232" s="413"/>
      <c r="AY232" s="390"/>
      <c r="AZ232" s="391"/>
      <c r="BA232" s="355"/>
      <c r="BB232" s="451"/>
      <c r="BC232" s="451"/>
      <c r="BD232" s="86"/>
      <c r="BE232" s="86">
        <f t="shared" si="116"/>
        <v>0</v>
      </c>
      <c r="BF232" s="392"/>
    </row>
    <row r="233" spans="1:59" ht="27.75" customHeight="1">
      <c r="A233" s="544" t="s">
        <v>462</v>
      </c>
      <c r="B233" s="532" t="s">
        <v>463</v>
      </c>
      <c r="C233" s="532"/>
      <c r="D233" s="451"/>
      <c r="E233" s="377">
        <v>0.1</v>
      </c>
      <c r="F233" s="377">
        <f>E233*3</f>
        <v>0.30000000000000004</v>
      </c>
      <c r="G233" s="379">
        <f aca="true" t="shared" si="117" ref="G233:G234">F233/E233</f>
        <v>3.0000000000000004</v>
      </c>
      <c r="H233" s="377">
        <f>E233*4</f>
        <v>0.4</v>
      </c>
      <c r="I233" s="377">
        <f aca="true" t="shared" si="118" ref="I233:I234">H233*1.2</f>
        <v>0.48</v>
      </c>
      <c r="J233" s="378">
        <v>0.5</v>
      </c>
      <c r="K233" s="423">
        <v>0.2</v>
      </c>
      <c r="L233" s="380" t="s">
        <v>180</v>
      </c>
      <c r="M233" s="394"/>
      <c r="N233" s="382"/>
      <c r="O233" s="382"/>
      <c r="P233" s="382"/>
      <c r="Q233" s="382"/>
      <c r="R233" s="382"/>
      <c r="S233" s="382"/>
      <c r="T233" s="382"/>
      <c r="U233" s="382"/>
      <c r="V233" s="382"/>
      <c r="W233" s="382"/>
      <c r="X233" s="382"/>
      <c r="Y233" s="382"/>
      <c r="Z233" s="382"/>
      <c r="AA233" s="382"/>
      <c r="AB233" s="382"/>
      <c r="AC233" s="382"/>
      <c r="AD233" s="382"/>
      <c r="AE233" s="382"/>
      <c r="AF233" s="382"/>
      <c r="AG233" s="382"/>
      <c r="AH233" s="382"/>
      <c r="AI233" s="382"/>
      <c r="AJ233" s="382"/>
      <c r="AK233" s="382"/>
      <c r="AL233" s="383"/>
      <c r="AM233" s="384"/>
      <c r="AN233" s="384"/>
      <c r="AO233" s="405"/>
      <c r="AP233" s="405"/>
      <c r="AQ233" s="414"/>
      <c r="AR233" s="410"/>
      <c r="AS233" s="415"/>
      <c r="AT233" s="415"/>
      <c r="AU233" s="440"/>
      <c r="AV233" s="400"/>
      <c r="AW233" s="413"/>
      <c r="AX233" s="413"/>
      <c r="AY233" s="390"/>
      <c r="AZ233" s="391"/>
      <c r="BA233" s="355"/>
      <c r="BB233" s="451" t="s">
        <v>463</v>
      </c>
      <c r="BC233" s="451"/>
      <c r="BD233" s="86">
        <f aca="true" t="shared" si="119" ref="BD233:BD244">M233+O233+Q233+S233+U233+W233+Y233+AA233+AC233+AE233+AG233+AI233+AK233</f>
        <v>0</v>
      </c>
      <c r="BE233" s="86">
        <f t="shared" si="116"/>
        <v>0</v>
      </c>
      <c r="BF233" s="392">
        <f aca="true" t="shared" si="120" ref="BF233:BF244">(BC233+BD233)-AY233</f>
        <v>0</v>
      </c>
      <c r="BG233">
        <f aca="true" t="shared" si="121" ref="BG233:BG237">IF(BF233&gt;=6,"Ok","Commande")</f>
        <v>0</v>
      </c>
    </row>
    <row r="234" spans="1:59" ht="27.75" customHeight="1">
      <c r="A234" s="544"/>
      <c r="B234" s="532" t="s">
        <v>464</v>
      </c>
      <c r="C234" s="532"/>
      <c r="D234" s="451"/>
      <c r="E234" s="377">
        <v>0.25</v>
      </c>
      <c r="F234" s="377">
        <f>E234*0.25</f>
        <v>0.0625</v>
      </c>
      <c r="G234" s="379">
        <f t="shared" si="117"/>
        <v>0.25</v>
      </c>
      <c r="H234" s="377">
        <f>E234*1.25</f>
        <v>0.3125</v>
      </c>
      <c r="I234" s="377">
        <f t="shared" si="118"/>
        <v>0.375</v>
      </c>
      <c r="J234" s="378">
        <v>1</v>
      </c>
      <c r="K234" s="423"/>
      <c r="L234" s="380" t="s">
        <v>180</v>
      </c>
      <c r="M234" s="394"/>
      <c r="N234" s="382"/>
      <c r="O234" s="382"/>
      <c r="P234" s="382"/>
      <c r="Q234" s="382"/>
      <c r="R234" s="382"/>
      <c r="S234" s="382"/>
      <c r="T234" s="382"/>
      <c r="U234" s="382"/>
      <c r="V234" s="382"/>
      <c r="W234" s="382"/>
      <c r="X234" s="382"/>
      <c r="Y234" s="382"/>
      <c r="Z234" s="382"/>
      <c r="AA234" s="382"/>
      <c r="AB234" s="382"/>
      <c r="AC234" s="382"/>
      <c r="AD234" s="382"/>
      <c r="AE234" s="382"/>
      <c r="AF234" s="382"/>
      <c r="AG234" s="382"/>
      <c r="AH234" s="382"/>
      <c r="AI234" s="382"/>
      <c r="AJ234" s="382"/>
      <c r="AK234" s="382"/>
      <c r="AL234" s="383"/>
      <c r="AM234" s="384"/>
      <c r="AN234" s="384"/>
      <c r="AO234" s="405"/>
      <c r="AP234" s="405"/>
      <c r="AQ234" s="414"/>
      <c r="AR234" s="410"/>
      <c r="AS234" s="415"/>
      <c r="AT234" s="415"/>
      <c r="AU234" s="440"/>
      <c r="AV234" s="400"/>
      <c r="AW234" s="413"/>
      <c r="AX234" s="413"/>
      <c r="AY234" s="390"/>
      <c r="AZ234" s="391"/>
      <c r="BA234" s="355"/>
      <c r="BB234" s="451" t="s">
        <v>464</v>
      </c>
      <c r="BC234" s="451"/>
      <c r="BD234" s="86">
        <f t="shared" si="119"/>
        <v>0</v>
      </c>
      <c r="BE234" s="86">
        <f t="shared" si="116"/>
        <v>0</v>
      </c>
      <c r="BF234" s="392">
        <f t="shared" si="120"/>
        <v>0</v>
      </c>
      <c r="BG234">
        <f t="shared" si="121"/>
        <v>0</v>
      </c>
    </row>
    <row r="235" spans="1:59" ht="52.5" customHeight="1">
      <c r="A235" s="541" t="s">
        <v>465</v>
      </c>
      <c r="B235" s="532" t="s">
        <v>466</v>
      </c>
      <c r="C235" s="532"/>
      <c r="D235" s="451"/>
      <c r="E235" s="545"/>
      <c r="F235" s="498"/>
      <c r="G235" s="546">
        <v>1.5</v>
      </c>
      <c r="H235" s="498">
        <v>4</v>
      </c>
      <c r="I235" s="498">
        <f>H235*G235</f>
        <v>6</v>
      </c>
      <c r="J235" s="498">
        <v>10</v>
      </c>
      <c r="K235" s="547" t="s">
        <v>144</v>
      </c>
      <c r="L235" s="380" t="s">
        <v>180</v>
      </c>
      <c r="M235" s="394"/>
      <c r="N235" s="382"/>
      <c r="O235" s="382"/>
      <c r="P235" s="382"/>
      <c r="Q235" s="382"/>
      <c r="R235" s="382"/>
      <c r="S235" s="382"/>
      <c r="T235" s="382"/>
      <c r="U235" s="382"/>
      <c r="V235" s="382"/>
      <c r="W235" s="382"/>
      <c r="X235" s="382"/>
      <c r="Y235" s="382"/>
      <c r="Z235" s="382"/>
      <c r="AA235" s="382"/>
      <c r="AB235" s="382"/>
      <c r="AC235" s="382"/>
      <c r="AD235" s="382"/>
      <c r="AE235" s="382"/>
      <c r="AF235" s="382"/>
      <c r="AG235" s="382"/>
      <c r="AH235" s="382"/>
      <c r="AI235" s="382"/>
      <c r="AJ235" s="382"/>
      <c r="AK235" s="382"/>
      <c r="AL235" s="383"/>
      <c r="AM235" s="384"/>
      <c r="AN235" s="384"/>
      <c r="AO235" s="405"/>
      <c r="AP235" s="405"/>
      <c r="AQ235" s="414"/>
      <c r="AR235" s="414"/>
      <c r="AS235" s="415"/>
      <c r="AT235" s="415"/>
      <c r="AU235" s="440"/>
      <c r="AV235" s="400"/>
      <c r="AW235" s="413"/>
      <c r="AX235" s="413"/>
      <c r="AY235" s="390"/>
      <c r="AZ235" s="391"/>
      <c r="BA235" s="355"/>
      <c r="BB235" s="451" t="s">
        <v>466</v>
      </c>
      <c r="BC235" s="451"/>
      <c r="BD235" s="86">
        <f t="shared" si="119"/>
        <v>0</v>
      </c>
      <c r="BE235" s="86">
        <f t="shared" si="116"/>
        <v>0</v>
      </c>
      <c r="BF235" s="392">
        <f t="shared" si="120"/>
        <v>0</v>
      </c>
      <c r="BG235">
        <f t="shared" si="121"/>
        <v>0</v>
      </c>
    </row>
    <row r="236" spans="1:59" ht="27.75" customHeight="1">
      <c r="A236" s="548"/>
      <c r="B236" s="549" t="s">
        <v>467</v>
      </c>
      <c r="C236" s="550"/>
      <c r="D236" s="551" t="s">
        <v>468</v>
      </c>
      <c r="E236" s="552">
        <v>0.13</v>
      </c>
      <c r="F236" s="552">
        <f aca="true" t="shared" si="122" ref="F236:F244">E236*5.5</f>
        <v>0.7150000000000001</v>
      </c>
      <c r="G236" s="553">
        <f aca="true" t="shared" si="123" ref="G236:G244">F236/E236</f>
        <v>5.5</v>
      </c>
      <c r="H236" s="552">
        <f aca="true" t="shared" si="124" ref="H236:H244">F236+E236</f>
        <v>0.8450000000000001</v>
      </c>
      <c r="I236" s="552">
        <f aca="true" t="shared" si="125" ref="I236:I244">H236*1.2</f>
        <v>1.014</v>
      </c>
      <c r="J236" s="552">
        <v>1</v>
      </c>
      <c r="K236" s="554">
        <v>0.2</v>
      </c>
      <c r="L236" s="380"/>
      <c r="M236" s="394"/>
      <c r="N236" s="382"/>
      <c r="O236" s="382"/>
      <c r="P236" s="382"/>
      <c r="Q236" s="382"/>
      <c r="R236" s="382"/>
      <c r="S236" s="382"/>
      <c r="T236" s="382"/>
      <c r="U236" s="382"/>
      <c r="V236" s="382"/>
      <c r="W236" s="382"/>
      <c r="X236" s="382"/>
      <c r="Y236" s="382"/>
      <c r="Z236" s="382"/>
      <c r="AA236" s="382"/>
      <c r="AB236" s="382"/>
      <c r="AC236" s="382"/>
      <c r="AD236" s="382"/>
      <c r="AE236" s="382"/>
      <c r="AF236" s="382"/>
      <c r="AG236" s="382"/>
      <c r="AH236" s="382"/>
      <c r="AI236" s="382"/>
      <c r="AJ236" s="382"/>
      <c r="AK236" s="382"/>
      <c r="AL236" s="383"/>
      <c r="AM236" s="384"/>
      <c r="AN236" s="384"/>
      <c r="AO236" s="397"/>
      <c r="AP236" s="397"/>
      <c r="AQ236" s="414"/>
      <c r="AR236" s="414"/>
      <c r="AS236" s="415"/>
      <c r="AT236" s="415"/>
      <c r="AU236" s="440"/>
      <c r="AV236" s="440"/>
      <c r="AW236" s="413"/>
      <c r="AX236" s="413"/>
      <c r="AY236" s="390"/>
      <c r="AZ236" s="391"/>
      <c r="BA236" s="355"/>
      <c r="BB236" s="451" t="s">
        <v>468</v>
      </c>
      <c r="BC236" s="451"/>
      <c r="BD236" s="86">
        <f t="shared" si="119"/>
        <v>0</v>
      </c>
      <c r="BE236" s="86">
        <f t="shared" si="116"/>
        <v>0</v>
      </c>
      <c r="BF236" s="392">
        <f t="shared" si="120"/>
        <v>0</v>
      </c>
      <c r="BG236">
        <f t="shared" si="121"/>
        <v>0</v>
      </c>
    </row>
    <row r="237" spans="1:59" ht="27.75" customHeight="1">
      <c r="A237" s="548"/>
      <c r="B237" s="549"/>
      <c r="C237" s="555"/>
      <c r="D237" s="551" t="s">
        <v>469</v>
      </c>
      <c r="E237" s="552">
        <v>0.13</v>
      </c>
      <c r="F237" s="552">
        <f t="shared" si="122"/>
        <v>0.7150000000000001</v>
      </c>
      <c r="G237" s="553">
        <f t="shared" si="123"/>
        <v>5.5</v>
      </c>
      <c r="H237" s="552">
        <f t="shared" si="124"/>
        <v>0.8450000000000001</v>
      </c>
      <c r="I237" s="552">
        <f t="shared" si="125"/>
        <v>1.014</v>
      </c>
      <c r="J237" s="552">
        <v>1</v>
      </c>
      <c r="K237" s="554"/>
      <c r="L237" s="380"/>
      <c r="M237" s="394"/>
      <c r="N237" s="382"/>
      <c r="O237" s="382"/>
      <c r="P237" s="382"/>
      <c r="Q237" s="382"/>
      <c r="R237" s="382"/>
      <c r="S237" s="382"/>
      <c r="T237" s="382"/>
      <c r="U237" s="382"/>
      <c r="V237" s="382"/>
      <c r="W237" s="382"/>
      <c r="X237" s="382"/>
      <c r="Y237" s="382"/>
      <c r="Z237" s="382"/>
      <c r="AA237" s="382"/>
      <c r="AB237" s="382"/>
      <c r="AC237" s="382"/>
      <c r="AD237" s="382"/>
      <c r="AE237" s="382"/>
      <c r="AF237" s="382"/>
      <c r="AG237" s="382"/>
      <c r="AH237" s="382"/>
      <c r="AI237" s="382"/>
      <c r="AJ237" s="382"/>
      <c r="AK237" s="382"/>
      <c r="AL237" s="383"/>
      <c r="AM237" s="384"/>
      <c r="AN237" s="384"/>
      <c r="AO237" s="397"/>
      <c r="AP237" s="397"/>
      <c r="AQ237" s="414"/>
      <c r="AR237" s="414"/>
      <c r="AS237" s="415"/>
      <c r="AT237" s="415"/>
      <c r="AU237" s="440"/>
      <c r="AV237" s="440"/>
      <c r="AW237" s="413"/>
      <c r="AX237" s="413"/>
      <c r="AY237" s="390"/>
      <c r="AZ237" s="391"/>
      <c r="BA237" s="355"/>
      <c r="BB237" s="451" t="s">
        <v>469</v>
      </c>
      <c r="BC237" s="451"/>
      <c r="BD237" s="86">
        <f t="shared" si="119"/>
        <v>0</v>
      </c>
      <c r="BE237" s="86">
        <f t="shared" si="116"/>
        <v>0</v>
      </c>
      <c r="BF237" s="392">
        <f t="shared" si="120"/>
        <v>0</v>
      </c>
      <c r="BG237">
        <f t="shared" si="121"/>
        <v>0</v>
      </c>
    </row>
    <row r="238" spans="1:58" ht="27.75" customHeight="1">
      <c r="A238" s="548"/>
      <c r="B238" s="549"/>
      <c r="C238" s="555"/>
      <c r="D238" s="551" t="s">
        <v>470</v>
      </c>
      <c r="E238" s="552">
        <v>0.13</v>
      </c>
      <c r="F238" s="552">
        <f t="shared" si="122"/>
        <v>0.7150000000000001</v>
      </c>
      <c r="G238" s="553">
        <f t="shared" si="123"/>
        <v>5.5</v>
      </c>
      <c r="H238" s="552">
        <f t="shared" si="124"/>
        <v>0.8450000000000001</v>
      </c>
      <c r="I238" s="552">
        <f t="shared" si="125"/>
        <v>1.014</v>
      </c>
      <c r="J238" s="552">
        <v>1</v>
      </c>
      <c r="K238" s="554"/>
      <c r="L238" s="380"/>
      <c r="M238" s="394"/>
      <c r="N238" s="382"/>
      <c r="O238" s="382"/>
      <c r="P238" s="382"/>
      <c r="Q238" s="382"/>
      <c r="R238" s="382"/>
      <c r="S238" s="382"/>
      <c r="T238" s="382"/>
      <c r="U238" s="382"/>
      <c r="V238" s="382"/>
      <c r="W238" s="382"/>
      <c r="X238" s="382"/>
      <c r="Y238" s="382"/>
      <c r="Z238" s="382"/>
      <c r="AA238" s="382"/>
      <c r="AB238" s="382"/>
      <c r="AC238" s="382"/>
      <c r="AD238" s="382"/>
      <c r="AE238" s="382"/>
      <c r="AF238" s="382"/>
      <c r="AG238" s="382"/>
      <c r="AH238" s="382"/>
      <c r="AI238" s="382"/>
      <c r="AJ238" s="382"/>
      <c r="AK238" s="382"/>
      <c r="AL238" s="383"/>
      <c r="AM238" s="384"/>
      <c r="AN238" s="384"/>
      <c r="AO238" s="397"/>
      <c r="AP238" s="397"/>
      <c r="AQ238" s="414"/>
      <c r="AR238" s="414"/>
      <c r="AS238" s="415"/>
      <c r="AT238" s="415"/>
      <c r="AU238" s="400"/>
      <c r="AV238" s="440"/>
      <c r="AW238" s="413"/>
      <c r="AX238" s="413"/>
      <c r="AY238" s="390"/>
      <c r="AZ238" s="391"/>
      <c r="BA238" s="355"/>
      <c r="BB238" s="451" t="s">
        <v>471</v>
      </c>
      <c r="BC238" s="451"/>
      <c r="BD238" s="86">
        <f t="shared" si="119"/>
        <v>0</v>
      </c>
      <c r="BE238" s="86">
        <f t="shared" si="116"/>
        <v>0</v>
      </c>
      <c r="BF238" s="392">
        <f t="shared" si="120"/>
        <v>0</v>
      </c>
    </row>
    <row r="239" spans="1:59" ht="27.75" customHeight="1">
      <c r="A239" s="548"/>
      <c r="B239" s="549"/>
      <c r="C239" s="555"/>
      <c r="D239" s="551" t="s">
        <v>472</v>
      </c>
      <c r="E239" s="552">
        <v>0.13</v>
      </c>
      <c r="F239" s="552">
        <f t="shared" si="122"/>
        <v>0.7150000000000001</v>
      </c>
      <c r="G239" s="553">
        <f t="shared" si="123"/>
        <v>5.5</v>
      </c>
      <c r="H239" s="552">
        <f t="shared" si="124"/>
        <v>0.8450000000000001</v>
      </c>
      <c r="I239" s="552">
        <f t="shared" si="125"/>
        <v>1.014</v>
      </c>
      <c r="J239" s="552">
        <v>1</v>
      </c>
      <c r="K239" s="554"/>
      <c r="L239" s="380"/>
      <c r="M239" s="394"/>
      <c r="N239" s="382"/>
      <c r="O239" s="382"/>
      <c r="P239" s="382"/>
      <c r="Q239" s="382"/>
      <c r="R239" s="382"/>
      <c r="S239" s="382"/>
      <c r="T239" s="382"/>
      <c r="U239" s="382"/>
      <c r="V239" s="382"/>
      <c r="W239" s="382"/>
      <c r="X239" s="382"/>
      <c r="Y239" s="382"/>
      <c r="Z239" s="382"/>
      <c r="AA239" s="382"/>
      <c r="AB239" s="382"/>
      <c r="AC239" s="382"/>
      <c r="AD239" s="382"/>
      <c r="AE239" s="382"/>
      <c r="AF239" s="382"/>
      <c r="AG239" s="382"/>
      <c r="AH239" s="382"/>
      <c r="AI239" s="382"/>
      <c r="AJ239" s="382"/>
      <c r="AK239" s="382"/>
      <c r="AL239" s="383"/>
      <c r="AM239" s="384"/>
      <c r="AN239" s="384"/>
      <c r="AO239" s="397"/>
      <c r="AP239" s="397"/>
      <c r="AQ239" s="414"/>
      <c r="AR239" s="414"/>
      <c r="AS239" s="415"/>
      <c r="AT239" s="415"/>
      <c r="AU239" s="440"/>
      <c r="AV239" s="440"/>
      <c r="AW239" s="413"/>
      <c r="AX239" s="413"/>
      <c r="AY239" s="390"/>
      <c r="AZ239" s="391"/>
      <c r="BA239" s="355"/>
      <c r="BB239" s="451" t="s">
        <v>472</v>
      </c>
      <c r="BC239" s="451"/>
      <c r="BD239" s="86">
        <f t="shared" si="119"/>
        <v>0</v>
      </c>
      <c r="BE239" s="86">
        <f t="shared" si="116"/>
        <v>0</v>
      </c>
      <c r="BF239" s="392">
        <f t="shared" si="120"/>
        <v>0</v>
      </c>
      <c r="BG239">
        <f aca="true" t="shared" si="126" ref="BG239:BG244">IF(BF239&gt;=6,"Ok","Commande")</f>
        <v>0</v>
      </c>
    </row>
    <row r="240" spans="1:59" ht="27.75" customHeight="1">
      <c r="A240" s="548"/>
      <c r="B240" s="549"/>
      <c r="C240" s="555"/>
      <c r="D240" s="551" t="s">
        <v>473</v>
      </c>
      <c r="E240" s="552">
        <v>0.13</v>
      </c>
      <c r="F240" s="552">
        <f t="shared" si="122"/>
        <v>0.7150000000000001</v>
      </c>
      <c r="G240" s="553">
        <f t="shared" si="123"/>
        <v>5.5</v>
      </c>
      <c r="H240" s="552">
        <f t="shared" si="124"/>
        <v>0.8450000000000001</v>
      </c>
      <c r="I240" s="552">
        <f t="shared" si="125"/>
        <v>1.014</v>
      </c>
      <c r="J240" s="552">
        <v>1</v>
      </c>
      <c r="K240" s="554"/>
      <c r="L240" s="380"/>
      <c r="M240" s="394"/>
      <c r="N240" s="382"/>
      <c r="O240" s="382"/>
      <c r="P240" s="382"/>
      <c r="Q240" s="382"/>
      <c r="R240" s="382"/>
      <c r="S240" s="382"/>
      <c r="T240" s="382"/>
      <c r="U240" s="382"/>
      <c r="V240" s="382"/>
      <c r="W240" s="382"/>
      <c r="X240" s="382"/>
      <c r="Y240" s="382"/>
      <c r="Z240" s="382"/>
      <c r="AA240" s="382"/>
      <c r="AB240" s="382"/>
      <c r="AC240" s="382"/>
      <c r="AD240" s="382"/>
      <c r="AE240" s="382"/>
      <c r="AF240" s="382"/>
      <c r="AG240" s="382"/>
      <c r="AH240" s="382"/>
      <c r="AI240" s="382"/>
      <c r="AJ240" s="382"/>
      <c r="AK240" s="382"/>
      <c r="AL240" s="383"/>
      <c r="AM240" s="384"/>
      <c r="AN240" s="384"/>
      <c r="AO240" s="397"/>
      <c r="AP240" s="397"/>
      <c r="AQ240" s="414"/>
      <c r="AR240" s="414"/>
      <c r="AS240" s="415"/>
      <c r="AT240" s="415"/>
      <c r="AU240" s="440"/>
      <c r="AV240" s="440"/>
      <c r="AW240" s="413"/>
      <c r="AX240" s="413"/>
      <c r="AY240" s="390"/>
      <c r="AZ240" s="391"/>
      <c r="BA240" s="355"/>
      <c r="BB240" s="451" t="s">
        <v>473</v>
      </c>
      <c r="BC240" s="451"/>
      <c r="BD240" s="86">
        <f t="shared" si="119"/>
        <v>0</v>
      </c>
      <c r="BE240" s="86">
        <f t="shared" si="116"/>
        <v>0</v>
      </c>
      <c r="BF240" s="392">
        <f t="shared" si="120"/>
        <v>0</v>
      </c>
      <c r="BG240">
        <f t="shared" si="126"/>
        <v>0</v>
      </c>
    </row>
    <row r="241" spans="1:59" ht="27.75" customHeight="1">
      <c r="A241" s="548"/>
      <c r="B241" s="549"/>
      <c r="C241" s="555"/>
      <c r="D241" s="551" t="s">
        <v>474</v>
      </c>
      <c r="E241" s="552">
        <v>0.13</v>
      </c>
      <c r="F241" s="552">
        <f t="shared" si="122"/>
        <v>0.7150000000000001</v>
      </c>
      <c r="G241" s="553">
        <f t="shared" si="123"/>
        <v>5.5</v>
      </c>
      <c r="H241" s="552">
        <f t="shared" si="124"/>
        <v>0.8450000000000001</v>
      </c>
      <c r="I241" s="552">
        <f t="shared" si="125"/>
        <v>1.014</v>
      </c>
      <c r="J241" s="552">
        <v>1</v>
      </c>
      <c r="K241" s="554"/>
      <c r="L241" s="380"/>
      <c r="M241" s="394"/>
      <c r="N241" s="382"/>
      <c r="O241" s="382"/>
      <c r="P241" s="382"/>
      <c r="Q241" s="382"/>
      <c r="R241" s="382"/>
      <c r="S241" s="382"/>
      <c r="T241" s="382"/>
      <c r="U241" s="382"/>
      <c r="V241" s="382"/>
      <c r="W241" s="382"/>
      <c r="X241" s="382"/>
      <c r="Y241" s="382"/>
      <c r="Z241" s="382"/>
      <c r="AA241" s="382"/>
      <c r="AB241" s="382"/>
      <c r="AC241" s="382"/>
      <c r="AD241" s="382"/>
      <c r="AE241" s="382"/>
      <c r="AF241" s="382"/>
      <c r="AG241" s="382"/>
      <c r="AH241" s="382"/>
      <c r="AI241" s="382"/>
      <c r="AJ241" s="382"/>
      <c r="AK241" s="382"/>
      <c r="AL241" s="383"/>
      <c r="AM241" s="384"/>
      <c r="AN241" s="384"/>
      <c r="AO241" s="397"/>
      <c r="AP241" s="397"/>
      <c r="AQ241" s="414"/>
      <c r="AR241" s="414"/>
      <c r="AS241" s="415"/>
      <c r="AT241" s="415"/>
      <c r="AU241" s="440"/>
      <c r="AV241" s="440"/>
      <c r="AW241" s="413"/>
      <c r="AX241" s="413"/>
      <c r="AY241" s="390"/>
      <c r="AZ241" s="391"/>
      <c r="BA241" s="355"/>
      <c r="BB241" s="451" t="s">
        <v>474</v>
      </c>
      <c r="BC241" s="451"/>
      <c r="BD241" s="86">
        <f t="shared" si="119"/>
        <v>0</v>
      </c>
      <c r="BE241" s="86">
        <f t="shared" si="116"/>
        <v>0</v>
      </c>
      <c r="BF241" s="392">
        <f t="shared" si="120"/>
        <v>0</v>
      </c>
      <c r="BG241">
        <f t="shared" si="126"/>
        <v>0</v>
      </c>
    </row>
    <row r="242" spans="1:59" ht="27.75" customHeight="1">
      <c r="A242" s="548"/>
      <c r="B242" s="549"/>
      <c r="C242" s="555"/>
      <c r="D242" s="551" t="s">
        <v>475</v>
      </c>
      <c r="E242" s="552">
        <v>0.13</v>
      </c>
      <c r="F242" s="552">
        <f t="shared" si="122"/>
        <v>0.7150000000000001</v>
      </c>
      <c r="G242" s="553">
        <f t="shared" si="123"/>
        <v>5.5</v>
      </c>
      <c r="H242" s="552">
        <f t="shared" si="124"/>
        <v>0.8450000000000001</v>
      </c>
      <c r="I242" s="552">
        <f t="shared" si="125"/>
        <v>1.014</v>
      </c>
      <c r="J242" s="552">
        <v>1</v>
      </c>
      <c r="K242" s="554"/>
      <c r="L242" s="380"/>
      <c r="M242" s="394"/>
      <c r="N242" s="382"/>
      <c r="O242" s="382"/>
      <c r="P242" s="382"/>
      <c r="Q242" s="382"/>
      <c r="R242" s="382"/>
      <c r="S242" s="382"/>
      <c r="T242" s="382"/>
      <c r="U242" s="382"/>
      <c r="V242" s="382"/>
      <c r="W242" s="382"/>
      <c r="X242" s="382"/>
      <c r="Y242" s="382"/>
      <c r="Z242" s="382"/>
      <c r="AA242" s="382"/>
      <c r="AB242" s="382"/>
      <c r="AC242" s="382"/>
      <c r="AD242" s="382"/>
      <c r="AE242" s="382"/>
      <c r="AF242" s="382"/>
      <c r="AG242" s="382"/>
      <c r="AH242" s="382"/>
      <c r="AI242" s="382"/>
      <c r="AJ242" s="382"/>
      <c r="AK242" s="382"/>
      <c r="AL242" s="383"/>
      <c r="AM242" s="384"/>
      <c r="AN242" s="384"/>
      <c r="AO242" s="397"/>
      <c r="AP242" s="397"/>
      <c r="AQ242" s="414"/>
      <c r="AR242" s="414"/>
      <c r="AS242" s="415"/>
      <c r="AT242" s="415"/>
      <c r="AU242" s="440"/>
      <c r="AV242" s="440"/>
      <c r="AW242" s="413"/>
      <c r="AX242" s="413"/>
      <c r="AY242" s="390"/>
      <c r="AZ242" s="391"/>
      <c r="BA242" s="355"/>
      <c r="BB242" s="451" t="s">
        <v>475</v>
      </c>
      <c r="BC242" s="451"/>
      <c r="BD242" s="86">
        <f t="shared" si="119"/>
        <v>0</v>
      </c>
      <c r="BE242" s="86">
        <f t="shared" si="116"/>
        <v>0</v>
      </c>
      <c r="BF242" s="392">
        <f t="shared" si="120"/>
        <v>0</v>
      </c>
      <c r="BG242">
        <f t="shared" si="126"/>
        <v>0</v>
      </c>
    </row>
    <row r="243" spans="1:59" ht="27.75" customHeight="1">
      <c r="A243" s="548"/>
      <c r="B243" s="549"/>
      <c r="C243" s="555"/>
      <c r="D243" s="551" t="s">
        <v>476</v>
      </c>
      <c r="E243" s="552">
        <v>0.13</v>
      </c>
      <c r="F243" s="552">
        <f t="shared" si="122"/>
        <v>0.7150000000000001</v>
      </c>
      <c r="G243" s="553">
        <f t="shared" si="123"/>
        <v>5.5</v>
      </c>
      <c r="H243" s="552">
        <f t="shared" si="124"/>
        <v>0.8450000000000001</v>
      </c>
      <c r="I243" s="552">
        <f t="shared" si="125"/>
        <v>1.014</v>
      </c>
      <c r="J243" s="552">
        <v>1</v>
      </c>
      <c r="K243" s="554"/>
      <c r="L243" s="380"/>
      <c r="M243" s="394"/>
      <c r="N243" s="382"/>
      <c r="O243" s="382"/>
      <c r="P243" s="382"/>
      <c r="Q243" s="382"/>
      <c r="R243" s="382"/>
      <c r="S243" s="382"/>
      <c r="T243" s="382"/>
      <c r="U243" s="382"/>
      <c r="V243" s="382"/>
      <c r="W243" s="382"/>
      <c r="X243" s="382"/>
      <c r="Y243" s="382"/>
      <c r="Z243" s="382"/>
      <c r="AA243" s="382"/>
      <c r="AB243" s="382"/>
      <c r="AC243" s="382"/>
      <c r="AD243" s="382"/>
      <c r="AE243" s="382"/>
      <c r="AF243" s="382"/>
      <c r="AG243" s="382"/>
      <c r="AH243" s="382"/>
      <c r="AI243" s="382"/>
      <c r="AJ243" s="382"/>
      <c r="AK243" s="382"/>
      <c r="AL243" s="383"/>
      <c r="AM243" s="384"/>
      <c r="AN243" s="384"/>
      <c r="AO243" s="397"/>
      <c r="AP243" s="397"/>
      <c r="AQ243" s="414"/>
      <c r="AR243" s="414"/>
      <c r="AS243" s="415"/>
      <c r="AT243" s="415"/>
      <c r="AU243" s="440"/>
      <c r="AV243" s="440"/>
      <c r="AW243" s="413"/>
      <c r="AX243" s="413"/>
      <c r="AY243" s="390"/>
      <c r="AZ243" s="391"/>
      <c r="BA243" s="355"/>
      <c r="BB243" s="451" t="s">
        <v>476</v>
      </c>
      <c r="BC243" s="451"/>
      <c r="BD243" s="86">
        <f t="shared" si="119"/>
        <v>0</v>
      </c>
      <c r="BE243" s="86">
        <f t="shared" si="116"/>
        <v>0</v>
      </c>
      <c r="BF243" s="392">
        <f t="shared" si="120"/>
        <v>0</v>
      </c>
      <c r="BG243">
        <f t="shared" si="126"/>
        <v>0</v>
      </c>
    </row>
    <row r="244" spans="1:59" ht="27.75" customHeight="1">
      <c r="A244" s="548"/>
      <c r="B244" s="549"/>
      <c r="C244" s="556"/>
      <c r="D244" s="557" t="s">
        <v>477</v>
      </c>
      <c r="E244" s="552">
        <v>0.13</v>
      </c>
      <c r="F244" s="552">
        <f t="shared" si="122"/>
        <v>0.7150000000000001</v>
      </c>
      <c r="G244" s="553">
        <f t="shared" si="123"/>
        <v>5.5</v>
      </c>
      <c r="H244" s="552">
        <f t="shared" si="124"/>
        <v>0.8450000000000001</v>
      </c>
      <c r="I244" s="552">
        <f t="shared" si="125"/>
        <v>1.014</v>
      </c>
      <c r="J244" s="558">
        <v>1</v>
      </c>
      <c r="K244" s="554"/>
      <c r="L244" s="559"/>
      <c r="M244" s="560"/>
      <c r="N244" s="561"/>
      <c r="O244" s="561"/>
      <c r="P244" s="561"/>
      <c r="Q244" s="561"/>
      <c r="R244" s="561"/>
      <c r="S244" s="561"/>
      <c r="T244" s="561"/>
      <c r="U244" s="561"/>
      <c r="V244" s="561"/>
      <c r="W244" s="561"/>
      <c r="X244" s="561"/>
      <c r="Y244" s="561"/>
      <c r="Z244" s="561"/>
      <c r="AA244" s="561"/>
      <c r="AB244" s="561"/>
      <c r="AC244" s="561"/>
      <c r="AD244" s="561"/>
      <c r="AE244" s="561"/>
      <c r="AF244" s="561"/>
      <c r="AG244" s="561"/>
      <c r="AH244" s="561"/>
      <c r="AI244" s="561"/>
      <c r="AJ244" s="561"/>
      <c r="AK244" s="561"/>
      <c r="AL244" s="562"/>
      <c r="AM244" s="563"/>
      <c r="AN244" s="563"/>
      <c r="AO244" s="564"/>
      <c r="AP244" s="564"/>
      <c r="AQ244" s="565"/>
      <c r="AR244" s="565"/>
      <c r="AS244" s="566"/>
      <c r="AT244" s="566"/>
      <c r="AU244" s="567"/>
      <c r="AV244" s="567"/>
      <c r="AW244" s="568"/>
      <c r="AX244" s="568"/>
      <c r="AY244" s="390"/>
      <c r="AZ244" s="569"/>
      <c r="BA244" s="355"/>
      <c r="BB244" s="570" t="s">
        <v>478</v>
      </c>
      <c r="BC244" s="570"/>
      <c r="BD244" s="86">
        <f t="shared" si="119"/>
        <v>0</v>
      </c>
      <c r="BE244" s="571">
        <f t="shared" si="116"/>
        <v>0</v>
      </c>
      <c r="BF244" s="572">
        <f t="shared" si="120"/>
        <v>0</v>
      </c>
      <c r="BG244">
        <f t="shared" si="126"/>
        <v>0</v>
      </c>
    </row>
    <row r="245" spans="2:55" ht="18.75">
      <c r="B245" s="573"/>
      <c r="C245" s="573"/>
      <c r="D245" s="574"/>
      <c r="M245" s="303"/>
      <c r="N245" s="304">
        <f>SUM(N3:N244)</f>
        <v>0</v>
      </c>
      <c r="O245" s="304"/>
      <c r="P245" s="304">
        <f>SUM(P3:P244)</f>
        <v>0</v>
      </c>
      <c r="Q245" s="304"/>
      <c r="R245" s="304">
        <f>SUM(R3:R244)</f>
        <v>0</v>
      </c>
      <c r="S245" s="575"/>
      <c r="T245" s="576">
        <f>SUM(T3:T244)</f>
        <v>0</v>
      </c>
      <c r="U245" s="575"/>
      <c r="V245" s="577">
        <f>SUM(V3:V244)</f>
        <v>0</v>
      </c>
      <c r="W245" s="304"/>
      <c r="X245" s="304">
        <f>SUM(X3:X244)</f>
        <v>97.87</v>
      </c>
      <c r="Y245" s="575"/>
      <c r="Z245" s="577">
        <f>SUM(Z3:Z244)</f>
        <v>0</v>
      </c>
      <c r="AA245" s="304"/>
      <c r="AB245" s="304">
        <f>SUM(AB3:AB244)</f>
        <v>0</v>
      </c>
      <c r="AC245" s="575"/>
      <c r="AD245" s="577">
        <f>SUM(AD3:AD244)</f>
        <v>0</v>
      </c>
      <c r="AE245" s="304"/>
      <c r="AF245" s="304">
        <f>SUM(AF3:AF244)</f>
        <v>0</v>
      </c>
      <c r="AG245" s="575"/>
      <c r="AH245" s="577">
        <f>SUM(AH3:AH244)</f>
        <v>0</v>
      </c>
      <c r="AI245" s="304"/>
      <c r="AJ245" s="304">
        <f>SUM(AJ3:AJ244)</f>
        <v>0</v>
      </c>
      <c r="AK245" s="575"/>
      <c r="AL245" s="577">
        <f>SUM(AL2:AL244)</f>
        <v>0</v>
      </c>
      <c r="AN245" s="303"/>
      <c r="AO245" s="303"/>
      <c r="AP245" s="303"/>
      <c r="AQ245" s="303"/>
      <c r="AR245" s="303"/>
      <c r="AS245" s="303"/>
      <c r="AT245" s="303"/>
      <c r="AU245" s="303"/>
      <c r="AV245" s="303"/>
      <c r="AW245" s="303"/>
      <c r="AX245" s="303"/>
      <c r="AY245" s="578"/>
      <c r="AZ245" s="578"/>
      <c r="BA245" s="307"/>
      <c r="BB245" s="307"/>
      <c r="BC245" t="s">
        <v>479</v>
      </c>
    </row>
    <row r="246" ht="13.5"/>
    <row r="247" spans="4:54" ht="12.75">
      <c r="D247" s="316"/>
      <c r="E247" t="s">
        <v>141</v>
      </c>
      <c r="M247" s="10"/>
      <c r="N247" s="10" t="s">
        <v>480</v>
      </c>
      <c r="P247" s="10" t="s">
        <v>481</v>
      </c>
      <c r="R247" s="10" t="s">
        <v>482</v>
      </c>
      <c r="T247" s="10" t="s">
        <v>483</v>
      </c>
      <c r="U247" s="10" t="s">
        <v>483</v>
      </c>
      <c r="W247" s="10" t="s">
        <v>482</v>
      </c>
      <c r="Y247" s="10" t="s">
        <v>480</v>
      </c>
      <c r="AA247" s="10" t="s">
        <v>480</v>
      </c>
      <c r="AC247" s="10" t="s">
        <v>483</v>
      </c>
      <c r="AE247" s="10" t="s">
        <v>484</v>
      </c>
      <c r="AG247" s="10" t="s">
        <v>485</v>
      </c>
      <c r="AI247" s="10" t="s">
        <v>486</v>
      </c>
      <c r="AK247" s="10" t="s">
        <v>487</v>
      </c>
      <c r="AY247" s="579" t="s">
        <v>488</v>
      </c>
      <c r="AZ247" s="332" t="s">
        <v>489</v>
      </c>
      <c r="BA247" s="580">
        <v>5500</v>
      </c>
      <c r="BB247" s="581"/>
    </row>
    <row r="248" spans="4:54" ht="12.75">
      <c r="D248" s="317"/>
      <c r="E248" t="s">
        <v>142</v>
      </c>
      <c r="AY248" s="579"/>
      <c r="AZ248" s="335" t="s">
        <v>490</v>
      </c>
      <c r="BA248" s="582">
        <f>N245+P245+R245+T245+V245+X245+Z245+AB245+AD245+AF245+AH245+AJ245+AL245</f>
        <v>97.87</v>
      </c>
      <c r="BB248" s="583"/>
    </row>
    <row r="249" spans="4:54" ht="12.75">
      <c r="D249" s="322"/>
      <c r="E249" t="s">
        <v>143</v>
      </c>
      <c r="AY249" s="579"/>
      <c r="AZ249" s="337"/>
      <c r="BA249" s="584"/>
      <c r="BB249" s="581"/>
    </row>
    <row r="250" spans="4:54" ht="13.5">
      <c r="D250" s="327"/>
      <c r="E250" t="s">
        <v>144</v>
      </c>
      <c r="AY250" s="579"/>
      <c r="AZ250" s="585" t="s">
        <v>149</v>
      </c>
      <c r="BA250" s="586">
        <f>BA247-BA248</f>
        <v>5402.13</v>
      </c>
      <c r="BB250" s="587"/>
    </row>
    <row r="251" spans="4:5" ht="12.75">
      <c r="D251" s="330"/>
      <c r="E251" t="s">
        <v>145</v>
      </c>
    </row>
    <row r="252" spans="4:5" ht="13.5">
      <c r="D252" s="588"/>
      <c r="E252" t="s">
        <v>168</v>
      </c>
    </row>
    <row r="253" spans="51:54" ht="12.75">
      <c r="AY253" s="331" t="s">
        <v>146</v>
      </c>
      <c r="AZ253" s="332" t="s">
        <v>147</v>
      </c>
      <c r="BA253" s="580">
        <f>BA247+'Commande Alimentaire'!AW74</f>
        <v>5500</v>
      </c>
      <c r="BB253" s="581"/>
    </row>
    <row r="254" spans="51:54" ht="12.75">
      <c r="AY254" s="331"/>
      <c r="AZ254" s="335" t="s">
        <v>148</v>
      </c>
      <c r="BA254" s="584">
        <f>BA248+'Commande Alimentaire'!AW75</f>
        <v>97.87</v>
      </c>
      <c r="BB254" s="581"/>
    </row>
    <row r="255" spans="51:54" ht="12.75">
      <c r="AY255" s="331"/>
      <c r="AZ255" s="337"/>
      <c r="BA255" s="589"/>
      <c r="BB255" s="590"/>
    </row>
    <row r="256" spans="13:54" ht="19.5">
      <c r="M256" s="591"/>
      <c r="N256" s="307"/>
      <c r="O256" s="592"/>
      <c r="P256" s="593"/>
      <c r="AY256" s="331"/>
      <c r="AZ256" s="340" t="s">
        <v>149</v>
      </c>
      <c r="BA256" s="594">
        <f>BA253-BA254</f>
        <v>5402.13</v>
      </c>
      <c r="BB256" s="595"/>
    </row>
    <row r="257" spans="6:12" ht="12.75">
      <c r="F257" s="307"/>
      <c r="G257" s="307"/>
      <c r="H257" s="307"/>
      <c r="I257" s="307"/>
      <c r="J257" s="307"/>
      <c r="K257" s="307"/>
      <c r="L257" s="307"/>
    </row>
  </sheetData>
  <sheetProtection selectLockedCells="1" selectUnlockedCells="1"/>
  <mergeCells count="106">
    <mergeCell ref="A1:J1"/>
    <mergeCell ref="M1:N1"/>
    <mergeCell ref="O1:P1"/>
    <mergeCell ref="Q1:R1"/>
    <mergeCell ref="S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Y2"/>
    <mergeCell ref="AZ1:AZ2"/>
    <mergeCell ref="BA1:BA244"/>
    <mergeCell ref="BC1:BC2"/>
    <mergeCell ref="BD1:BD2"/>
    <mergeCell ref="BE1:BE2"/>
    <mergeCell ref="BF1:BF2"/>
    <mergeCell ref="BG1:BG2"/>
    <mergeCell ref="A3:A7"/>
    <mergeCell ref="B3:B6"/>
    <mergeCell ref="K3:K6"/>
    <mergeCell ref="A8:A25"/>
    <mergeCell ref="B8:B25"/>
    <mergeCell ref="K8:K25"/>
    <mergeCell ref="A26:A30"/>
    <mergeCell ref="B26:B30"/>
    <mergeCell ref="K26:K27"/>
    <mergeCell ref="E27:I27"/>
    <mergeCell ref="K28:K30"/>
    <mergeCell ref="A31:A135"/>
    <mergeCell ref="B31:B36"/>
    <mergeCell ref="K31:K51"/>
    <mergeCell ref="B38:B42"/>
    <mergeCell ref="B44:B46"/>
    <mergeCell ref="B47:B48"/>
    <mergeCell ref="B50:B51"/>
    <mergeCell ref="B53:B54"/>
    <mergeCell ref="K53:K60"/>
    <mergeCell ref="B55:B60"/>
    <mergeCell ref="B61:B95"/>
    <mergeCell ref="K61:K108"/>
    <mergeCell ref="E88:I91"/>
    <mergeCell ref="B96:B101"/>
    <mergeCell ref="B102:B108"/>
    <mergeCell ref="B109:B111"/>
    <mergeCell ref="B112:B113"/>
    <mergeCell ref="K112:K135"/>
    <mergeCell ref="B115:B122"/>
    <mergeCell ref="B124:B134"/>
    <mergeCell ref="A136:A149"/>
    <mergeCell ref="B136:B145"/>
    <mergeCell ref="K136:K149"/>
    <mergeCell ref="B146:B149"/>
    <mergeCell ref="A150:A182"/>
    <mergeCell ref="K150:K152"/>
    <mergeCell ref="B154:B155"/>
    <mergeCell ref="E154:I154"/>
    <mergeCell ref="E155:I155"/>
    <mergeCell ref="B157:B159"/>
    <mergeCell ref="E157:I157"/>
    <mergeCell ref="K159:K162"/>
    <mergeCell ref="B163:B165"/>
    <mergeCell ref="K164:K170"/>
    <mergeCell ref="E166:I166"/>
    <mergeCell ref="E167:I168"/>
    <mergeCell ref="E170:I170"/>
    <mergeCell ref="E171:G171"/>
    <mergeCell ref="K172:K176"/>
    <mergeCell ref="B176:B179"/>
    <mergeCell ref="K177:K178"/>
    <mergeCell ref="A183:A198"/>
    <mergeCell ref="B183:B189"/>
    <mergeCell ref="K183:K197"/>
    <mergeCell ref="E190:I190"/>
    <mergeCell ref="B191:B195"/>
    <mergeCell ref="E191:I194"/>
    <mergeCell ref="B196:B197"/>
    <mergeCell ref="E196:I197"/>
    <mergeCell ref="B198:B200"/>
    <mergeCell ref="K198:K231"/>
    <mergeCell ref="A199:A200"/>
    <mergeCell ref="A201:A217"/>
    <mergeCell ref="B204:B215"/>
    <mergeCell ref="B216:B217"/>
    <mergeCell ref="E216:I216"/>
    <mergeCell ref="E217:I217"/>
    <mergeCell ref="B218:B230"/>
    <mergeCell ref="E218:I218"/>
    <mergeCell ref="E219:I230"/>
    <mergeCell ref="E232:I232"/>
    <mergeCell ref="A233:A234"/>
    <mergeCell ref="K233:K234"/>
    <mergeCell ref="A236:A244"/>
    <mergeCell ref="B236:B244"/>
    <mergeCell ref="K236:K244"/>
    <mergeCell ref="AY247:AY250"/>
    <mergeCell ref="AY253:AY256"/>
  </mergeCells>
  <hyperlinks>
    <hyperlink ref="C4" r:id="rId1" display="solangepoudenx@yahoo.fr"/>
  </hyperlinks>
  <printOptions/>
  <pageMargins left="0.7000000000000001" right="0.7000000000000001" top="0.75" bottom="0.75" header="0.5118110236220472" footer="0.5118110236220472"/>
  <pageSetup fitToHeight="1" fitToWidth="1" horizontalDpi="300" verticalDpi="300"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Q113"/>
  <sheetViews>
    <sheetView zoomScale="83" zoomScaleNormal="83" workbookViewId="0" topLeftCell="W10">
      <selection activeCell="AI60" sqref="AI60"/>
    </sheetView>
  </sheetViews>
  <sheetFormatPr defaultColWidth="9.140625" defaultRowHeight="12.75"/>
  <cols>
    <col min="1" max="1" width="24.00390625" style="0" customWidth="1"/>
    <col min="2" max="2" width="22.00390625" style="0" customWidth="1"/>
    <col min="3" max="3" width="38.00390625" style="0" customWidth="1"/>
    <col min="4" max="4" width="16.421875" style="0" customWidth="1"/>
    <col min="5" max="5" width="11.57421875" style="0" customWidth="1"/>
    <col min="6" max="6" width="15.00390625" style="0" customWidth="1"/>
    <col min="7" max="7" width="12.421875" style="596" customWidth="1"/>
    <col min="8" max="8" width="13.00390625" style="0" customWidth="1"/>
    <col min="9" max="9" width="12.8515625" style="0" customWidth="1"/>
    <col min="10" max="10" width="13.421875" style="0" customWidth="1"/>
    <col min="11" max="11" width="12.421875" style="0" customWidth="1"/>
    <col min="12" max="12" width="13.140625" style="0" customWidth="1"/>
    <col min="13" max="13" width="12.57421875" style="0" customWidth="1"/>
    <col min="14" max="14" width="13.140625" style="0" customWidth="1"/>
    <col min="15" max="15" width="12.00390625" style="0" customWidth="1"/>
    <col min="16" max="16" width="14.28125" style="0" customWidth="1"/>
    <col min="17" max="17" width="11.140625" style="0" customWidth="1"/>
    <col min="18" max="18" width="13.140625" style="0" customWidth="1"/>
    <col min="19" max="19" width="12.28125" style="0" customWidth="1"/>
    <col min="20" max="20" width="14.00390625" style="0" customWidth="1"/>
    <col min="21" max="21" width="11.57421875" style="0" customWidth="1"/>
    <col min="22" max="22" width="13.421875" style="0" customWidth="1"/>
    <col min="23" max="23" width="11.28125" style="0" customWidth="1"/>
    <col min="24" max="24" width="12.140625" style="0" customWidth="1"/>
    <col min="25" max="25" width="11.28125" style="0" customWidth="1"/>
    <col min="26" max="26" width="11.57421875" style="0" customWidth="1"/>
    <col min="27" max="27" width="11.28125" style="0" customWidth="1"/>
    <col min="28" max="28" width="11.57421875" style="0" customWidth="1"/>
    <col min="29" max="29" width="11.8515625" style="0" customWidth="1"/>
    <col min="30" max="30" width="9.7109375" style="0" customWidth="1"/>
    <col min="31" max="31" width="10.00390625" style="0" customWidth="1"/>
    <col min="32" max="32" width="11.7109375" style="0" customWidth="1"/>
    <col min="33" max="33" width="13.00390625" style="0" customWidth="1"/>
    <col min="34" max="34" width="15.57421875" style="0" customWidth="1"/>
    <col min="35" max="35" width="13.7109375" style="0" customWidth="1"/>
    <col min="36" max="36" width="9.421875" style="0" customWidth="1"/>
    <col min="37" max="37" width="11.00390625" style="0" customWidth="1"/>
    <col min="38" max="38" width="9.421875" style="0" customWidth="1"/>
    <col min="39" max="40" width="11.28125" style="0" customWidth="1"/>
    <col min="41" max="16384" width="11.00390625" style="0" customWidth="1"/>
  </cols>
  <sheetData>
    <row r="1" spans="1:12" ht="13.5">
      <c r="A1" s="597" t="s">
        <v>491</v>
      </c>
      <c r="B1" s="597"/>
      <c r="C1" s="597"/>
      <c r="D1" s="597"/>
      <c r="E1" s="597"/>
      <c r="F1" s="597"/>
      <c r="G1" s="598"/>
      <c r="H1" s="597"/>
      <c r="I1" s="597"/>
      <c r="J1" s="597"/>
      <c r="K1" s="597"/>
      <c r="L1" s="597"/>
    </row>
    <row r="2" spans="1:33" ht="27.75">
      <c r="A2" s="599" t="s">
        <v>492</v>
      </c>
      <c r="B2" s="599"/>
      <c r="C2" s="599"/>
      <c r="D2" s="599"/>
      <c r="E2" s="600" t="s">
        <v>0</v>
      </c>
      <c r="F2" s="600"/>
      <c r="G2" s="601" t="s">
        <v>1</v>
      </c>
      <c r="H2" s="601"/>
      <c r="I2" s="601" t="s">
        <v>2</v>
      </c>
      <c r="J2" s="601"/>
      <c r="K2" s="601" t="s">
        <v>3</v>
      </c>
      <c r="L2" s="601"/>
      <c r="M2" s="601" t="s">
        <v>4</v>
      </c>
      <c r="N2" s="601"/>
      <c r="O2" s="602" t="s">
        <v>5</v>
      </c>
      <c r="P2" s="602"/>
      <c r="Q2" s="603" t="s">
        <v>6</v>
      </c>
      <c r="R2" s="603"/>
      <c r="S2" s="601" t="s">
        <v>150</v>
      </c>
      <c r="T2" s="601"/>
      <c r="U2" s="603" t="s">
        <v>8</v>
      </c>
      <c r="V2" s="603"/>
      <c r="W2" s="603" t="s">
        <v>9</v>
      </c>
      <c r="X2" s="603"/>
      <c r="Y2" s="603" t="s">
        <v>10</v>
      </c>
      <c r="Z2" s="603"/>
      <c r="AA2" s="604" t="s">
        <v>11</v>
      </c>
      <c r="AB2" s="604"/>
      <c r="AC2" s="605"/>
      <c r="AD2" s="605"/>
      <c r="AE2" s="605"/>
      <c r="AF2" s="605"/>
      <c r="AG2" s="605"/>
    </row>
    <row r="3" spans="1:41" ht="165">
      <c r="A3" s="606" t="s">
        <v>493</v>
      </c>
      <c r="B3" s="607" t="s">
        <v>494</v>
      </c>
      <c r="C3" s="608" t="s">
        <v>495</v>
      </c>
      <c r="D3" s="609" t="s">
        <v>496</v>
      </c>
      <c r="E3" s="610" t="s">
        <v>497</v>
      </c>
      <c r="F3" s="611" t="s">
        <v>498</v>
      </c>
      <c r="G3" s="612" t="s">
        <v>497</v>
      </c>
      <c r="H3" s="611" t="s">
        <v>499</v>
      </c>
      <c r="I3" s="612" t="s">
        <v>497</v>
      </c>
      <c r="J3" s="611" t="s">
        <v>500</v>
      </c>
      <c r="K3" s="612" t="s">
        <v>497</v>
      </c>
      <c r="L3" s="611" t="s">
        <v>501</v>
      </c>
      <c r="M3" s="612" t="s">
        <v>497</v>
      </c>
      <c r="N3" s="611" t="s">
        <v>502</v>
      </c>
      <c r="O3" s="612" t="s">
        <v>497</v>
      </c>
      <c r="P3" s="613" t="s">
        <v>503</v>
      </c>
      <c r="Q3" s="612" t="s">
        <v>497</v>
      </c>
      <c r="R3" s="611" t="s">
        <v>504</v>
      </c>
      <c r="S3" s="612" t="s">
        <v>497</v>
      </c>
      <c r="T3" s="611" t="s">
        <v>505</v>
      </c>
      <c r="U3" s="612" t="s">
        <v>497</v>
      </c>
      <c r="V3" s="611" t="s">
        <v>506</v>
      </c>
      <c r="W3" s="612" t="s">
        <v>497</v>
      </c>
      <c r="X3" s="611" t="s">
        <v>507</v>
      </c>
      <c r="Y3" s="612" t="s">
        <v>508</v>
      </c>
      <c r="Z3" s="611" t="s">
        <v>509</v>
      </c>
      <c r="AA3" s="614" t="s">
        <v>497</v>
      </c>
      <c r="AB3" s="615" t="s">
        <v>510</v>
      </c>
      <c r="AC3" s="616" t="s">
        <v>511</v>
      </c>
      <c r="AD3" s="617" t="s">
        <v>512</v>
      </c>
      <c r="AE3" s="617" t="s">
        <v>513</v>
      </c>
      <c r="AF3" s="618" t="s">
        <v>514</v>
      </c>
      <c r="AG3" s="619" t="s">
        <v>515</v>
      </c>
      <c r="AH3" s="620" t="s">
        <v>516</v>
      </c>
      <c r="AI3" s="621" t="s">
        <v>517</v>
      </c>
      <c r="AJ3" s="622" t="s">
        <v>518</v>
      </c>
      <c r="AK3" s="623" t="s">
        <v>519</v>
      </c>
      <c r="AL3" s="622" t="s">
        <v>520</v>
      </c>
      <c r="AM3" s="624" t="s">
        <v>521</v>
      </c>
      <c r="AN3" s="625" t="s">
        <v>522</v>
      </c>
      <c r="AO3" s="616" t="s">
        <v>523</v>
      </c>
    </row>
    <row r="4" spans="1:41" ht="21.75" customHeight="1">
      <c r="A4" s="626" t="s">
        <v>524</v>
      </c>
      <c r="B4" s="627" t="s">
        <v>70</v>
      </c>
      <c r="C4" s="628" t="s">
        <v>72</v>
      </c>
      <c r="D4" s="629">
        <v>5</v>
      </c>
      <c r="E4" s="630"/>
      <c r="F4" s="631">
        <f aca="true" t="shared" si="0" ref="F4:F104">E4*D4</f>
        <v>0</v>
      </c>
      <c r="G4" s="632"/>
      <c r="H4" s="631">
        <f aca="true" t="shared" si="1" ref="H4:H92">G4*D4</f>
        <v>0</v>
      </c>
      <c r="I4" s="632"/>
      <c r="J4" s="631">
        <f aca="true" t="shared" si="2" ref="J4:J23">I4*D4</f>
        <v>0</v>
      </c>
      <c r="K4" s="633"/>
      <c r="L4" s="631">
        <f aca="true" t="shared" si="3" ref="L4:L87">K4*D4</f>
        <v>0</v>
      </c>
      <c r="M4" s="634"/>
      <c r="N4" s="631">
        <f aca="true" t="shared" si="4" ref="N4:N66">M4*D4</f>
        <v>0</v>
      </c>
      <c r="O4" s="635">
        <v>1</v>
      </c>
      <c r="P4" s="636">
        <f aca="true" t="shared" si="5" ref="P4:P107">O4*D4</f>
        <v>5</v>
      </c>
      <c r="Q4" s="634"/>
      <c r="R4" s="631">
        <f aca="true" t="shared" si="6" ref="R4:R87">Q4*D4</f>
        <v>0</v>
      </c>
      <c r="S4" s="634"/>
      <c r="T4" s="631">
        <f aca="true" t="shared" si="7" ref="T4:T107">S4*D4</f>
        <v>0</v>
      </c>
      <c r="U4" s="634"/>
      <c r="V4" s="631">
        <f aca="true" t="shared" si="8" ref="V4:V107">U4*D4</f>
        <v>0</v>
      </c>
      <c r="W4" s="634"/>
      <c r="X4" s="631">
        <f aca="true" t="shared" si="9" ref="X4:X107">W4*D4</f>
        <v>0</v>
      </c>
      <c r="Y4" s="634"/>
      <c r="Z4" s="631">
        <f aca="true" t="shared" si="10" ref="Z4:Z107">Y4*D4</f>
        <v>0</v>
      </c>
      <c r="AA4" s="637"/>
      <c r="AB4" s="631">
        <f aca="true" t="shared" si="11" ref="AB4:AB107">AA4*D4</f>
        <v>0</v>
      </c>
      <c r="AC4" s="638">
        <f>'Commande Alimentaire'!D20</f>
        <v>3.16</v>
      </c>
      <c r="AD4" s="639">
        <f aca="true" t="shared" si="12" ref="AD4:AD8">(AC4*20)/100+AC4</f>
        <v>3.7920000000000003</v>
      </c>
      <c r="AE4" s="640">
        <v>0.2</v>
      </c>
      <c r="AF4" s="641">
        <f aca="true" t="shared" si="13" ref="AF4:AF8">D4-AD4</f>
        <v>1.2079999999999997</v>
      </c>
      <c r="AG4" s="642">
        <f aca="true" t="shared" si="14" ref="AG4:AG8">AF4*AI4</f>
        <v>1.2079999999999997</v>
      </c>
      <c r="AH4" s="643">
        <f aca="true" t="shared" si="15" ref="AH4:AH67">AB4+Z4+X4+V4+T4+R4+P4+N4+L4+J4+H4+F4</f>
        <v>5</v>
      </c>
      <c r="AI4" s="644">
        <f aca="true" t="shared" si="16" ref="AI4:AI8">AA4+Y4+W4+U4+S4+Q4+O4+M4+K4+I4+G4+E4</f>
        <v>1</v>
      </c>
      <c r="AJ4" s="645">
        <v>7</v>
      </c>
      <c r="AK4" s="646"/>
      <c r="AL4" s="647">
        <f aca="true" t="shared" si="17" ref="AL4:AL7">AJ4+AK4</f>
        <v>7</v>
      </c>
      <c r="AM4" s="648">
        <f aca="true" t="shared" si="18" ref="AM4:AM7">AK4-AL4</f>
        <v>-7</v>
      </c>
      <c r="AN4" s="649">
        <f aca="true" t="shared" si="19" ref="AN4:AN7">AI4-AM4</f>
        <v>8</v>
      </c>
      <c r="AO4" s="650"/>
    </row>
    <row r="5" spans="1:41" ht="20.25">
      <c r="A5" s="626"/>
      <c r="B5" s="627"/>
      <c r="C5" s="651" t="s">
        <v>74</v>
      </c>
      <c r="D5" s="652">
        <v>5</v>
      </c>
      <c r="E5" s="653"/>
      <c r="F5" s="654">
        <f t="shared" si="0"/>
        <v>0</v>
      </c>
      <c r="G5" s="655"/>
      <c r="H5" s="654">
        <f t="shared" si="1"/>
        <v>0</v>
      </c>
      <c r="I5" s="655"/>
      <c r="J5" s="654">
        <f t="shared" si="2"/>
        <v>0</v>
      </c>
      <c r="K5" s="656"/>
      <c r="L5" s="654">
        <f t="shared" si="3"/>
        <v>0</v>
      </c>
      <c r="M5" s="68"/>
      <c r="N5" s="654">
        <f t="shared" si="4"/>
        <v>0</v>
      </c>
      <c r="O5" s="657">
        <v>1</v>
      </c>
      <c r="P5" s="658">
        <f t="shared" si="5"/>
        <v>5</v>
      </c>
      <c r="Q5" s="68"/>
      <c r="R5" s="654">
        <f t="shared" si="6"/>
        <v>0</v>
      </c>
      <c r="S5" s="68"/>
      <c r="T5" s="654">
        <f t="shared" si="7"/>
        <v>0</v>
      </c>
      <c r="U5" s="68"/>
      <c r="V5" s="654">
        <f t="shared" si="8"/>
        <v>0</v>
      </c>
      <c r="W5" s="68"/>
      <c r="X5" s="654">
        <f t="shared" si="9"/>
        <v>0</v>
      </c>
      <c r="Y5" s="68"/>
      <c r="Z5" s="654">
        <f t="shared" si="10"/>
        <v>0</v>
      </c>
      <c r="AA5" s="659"/>
      <c r="AB5" s="654">
        <f t="shared" si="11"/>
        <v>0</v>
      </c>
      <c r="AC5" s="660">
        <f>'Commande Alimentaire'!D22</f>
        <v>3.16</v>
      </c>
      <c r="AD5" s="661">
        <f t="shared" si="12"/>
        <v>3.7920000000000003</v>
      </c>
      <c r="AE5" s="640"/>
      <c r="AF5" s="662">
        <f t="shared" si="13"/>
        <v>1.2079999999999997</v>
      </c>
      <c r="AG5" s="663">
        <f t="shared" si="14"/>
        <v>1.2079999999999997</v>
      </c>
      <c r="AH5" s="664">
        <f t="shared" si="15"/>
        <v>5</v>
      </c>
      <c r="AI5" s="665">
        <f t="shared" si="16"/>
        <v>1</v>
      </c>
      <c r="AJ5" s="666">
        <v>6</v>
      </c>
      <c r="AK5" s="667"/>
      <c r="AL5" s="668">
        <f t="shared" si="17"/>
        <v>6</v>
      </c>
      <c r="AM5" s="669">
        <f t="shared" si="18"/>
        <v>-6</v>
      </c>
      <c r="AN5" s="670">
        <f t="shared" si="19"/>
        <v>7</v>
      </c>
      <c r="AO5" s="671"/>
    </row>
    <row r="6" spans="1:41" ht="20.25">
      <c r="A6" s="626"/>
      <c r="B6" s="627"/>
      <c r="C6" s="651" t="s">
        <v>82</v>
      </c>
      <c r="D6" s="652">
        <v>5</v>
      </c>
      <c r="E6" s="653"/>
      <c r="F6" s="654">
        <f t="shared" si="0"/>
        <v>0</v>
      </c>
      <c r="G6" s="655"/>
      <c r="H6" s="654">
        <f t="shared" si="1"/>
        <v>0</v>
      </c>
      <c r="I6" s="655"/>
      <c r="J6" s="654">
        <f t="shared" si="2"/>
        <v>0</v>
      </c>
      <c r="K6" s="656"/>
      <c r="L6" s="654">
        <f t="shared" si="3"/>
        <v>0</v>
      </c>
      <c r="M6" s="68"/>
      <c r="N6" s="654">
        <f t="shared" si="4"/>
        <v>0</v>
      </c>
      <c r="O6" s="657"/>
      <c r="P6" s="658">
        <f t="shared" si="5"/>
        <v>0</v>
      </c>
      <c r="Q6" s="68"/>
      <c r="R6" s="654">
        <f t="shared" si="6"/>
        <v>0</v>
      </c>
      <c r="S6" s="68"/>
      <c r="T6" s="654">
        <f t="shared" si="7"/>
        <v>0</v>
      </c>
      <c r="U6" s="68"/>
      <c r="V6" s="654">
        <f t="shared" si="8"/>
        <v>0</v>
      </c>
      <c r="W6" s="68"/>
      <c r="X6" s="654">
        <f t="shared" si="9"/>
        <v>0</v>
      </c>
      <c r="Y6" s="68"/>
      <c r="Z6" s="654">
        <f t="shared" si="10"/>
        <v>0</v>
      </c>
      <c r="AA6" s="659"/>
      <c r="AB6" s="654">
        <f t="shared" si="11"/>
        <v>0</v>
      </c>
      <c r="AC6" s="660">
        <f>'Commande Alimentaire'!D29</f>
        <v>3.1008</v>
      </c>
      <c r="AD6" s="661">
        <f t="shared" si="12"/>
        <v>3.72096</v>
      </c>
      <c r="AE6" s="640"/>
      <c r="AF6" s="662">
        <f t="shared" si="13"/>
        <v>1.2790400000000002</v>
      </c>
      <c r="AG6" s="663">
        <f t="shared" si="14"/>
        <v>0</v>
      </c>
      <c r="AH6" s="664">
        <f t="shared" si="15"/>
        <v>0</v>
      </c>
      <c r="AI6" s="665">
        <f t="shared" si="16"/>
        <v>0</v>
      </c>
      <c r="AJ6" s="666">
        <v>9</v>
      </c>
      <c r="AK6" s="667"/>
      <c r="AL6" s="668">
        <f t="shared" si="17"/>
        <v>9</v>
      </c>
      <c r="AM6" s="669">
        <f t="shared" si="18"/>
        <v>-9</v>
      </c>
      <c r="AN6" s="670">
        <f t="shared" si="19"/>
        <v>9</v>
      </c>
      <c r="AO6" s="671"/>
    </row>
    <row r="7" spans="1:41" ht="20.25">
      <c r="A7" s="626"/>
      <c r="B7" s="627"/>
      <c r="C7" s="651" t="s">
        <v>83</v>
      </c>
      <c r="D7" s="652">
        <v>4</v>
      </c>
      <c r="E7" s="653"/>
      <c r="F7" s="654">
        <f t="shared" si="0"/>
        <v>0</v>
      </c>
      <c r="G7" s="655"/>
      <c r="H7" s="654">
        <f t="shared" si="1"/>
        <v>0</v>
      </c>
      <c r="I7" s="655"/>
      <c r="J7" s="654">
        <f t="shared" si="2"/>
        <v>0</v>
      </c>
      <c r="K7" s="656">
        <v>1</v>
      </c>
      <c r="L7" s="654">
        <f t="shared" si="3"/>
        <v>4</v>
      </c>
      <c r="M7" s="68"/>
      <c r="N7" s="654">
        <f t="shared" si="4"/>
        <v>0</v>
      </c>
      <c r="O7" s="657"/>
      <c r="P7" s="658">
        <f t="shared" si="5"/>
        <v>0</v>
      </c>
      <c r="Q7" s="68"/>
      <c r="R7" s="654">
        <f t="shared" si="6"/>
        <v>0</v>
      </c>
      <c r="S7" s="68"/>
      <c r="T7" s="654">
        <f t="shared" si="7"/>
        <v>0</v>
      </c>
      <c r="U7" s="68"/>
      <c r="V7" s="654">
        <f t="shared" si="8"/>
        <v>0</v>
      </c>
      <c r="W7" s="68"/>
      <c r="X7" s="654">
        <f t="shared" si="9"/>
        <v>0</v>
      </c>
      <c r="Y7" s="68"/>
      <c r="Z7" s="654">
        <f t="shared" si="10"/>
        <v>0</v>
      </c>
      <c r="AA7" s="659"/>
      <c r="AB7" s="654">
        <f t="shared" si="11"/>
        <v>0</v>
      </c>
      <c r="AC7" s="660">
        <f>'Commande Alimentaire'!D30</f>
        <v>2.422</v>
      </c>
      <c r="AD7" s="661">
        <f t="shared" si="12"/>
        <v>2.9064</v>
      </c>
      <c r="AE7" s="640"/>
      <c r="AF7" s="662">
        <f t="shared" si="13"/>
        <v>1.0936</v>
      </c>
      <c r="AG7" s="663">
        <f t="shared" si="14"/>
        <v>1.0936</v>
      </c>
      <c r="AH7" s="664">
        <f t="shared" si="15"/>
        <v>4</v>
      </c>
      <c r="AI7" s="665">
        <f t="shared" si="16"/>
        <v>1</v>
      </c>
      <c r="AJ7" s="666">
        <v>7</v>
      </c>
      <c r="AK7" s="667"/>
      <c r="AL7" s="668">
        <f t="shared" si="17"/>
        <v>7</v>
      </c>
      <c r="AM7" s="669">
        <f t="shared" si="18"/>
        <v>-7</v>
      </c>
      <c r="AN7" s="670">
        <f t="shared" si="19"/>
        <v>8</v>
      </c>
      <c r="AO7" s="671"/>
    </row>
    <row r="8" spans="1:41" ht="20.25">
      <c r="A8" s="626"/>
      <c r="B8" s="627"/>
      <c r="C8" s="651" t="s">
        <v>525</v>
      </c>
      <c r="D8" s="652">
        <v>3.15</v>
      </c>
      <c r="E8" s="653"/>
      <c r="F8" s="654">
        <f t="shared" si="0"/>
        <v>0</v>
      </c>
      <c r="G8" s="655"/>
      <c r="H8" s="654">
        <f t="shared" si="1"/>
        <v>0</v>
      </c>
      <c r="I8" s="655"/>
      <c r="J8" s="654">
        <f t="shared" si="2"/>
        <v>0</v>
      </c>
      <c r="K8" s="656"/>
      <c r="L8" s="654">
        <f t="shared" si="3"/>
        <v>0</v>
      </c>
      <c r="M8" s="68"/>
      <c r="N8" s="654">
        <f t="shared" si="4"/>
        <v>0</v>
      </c>
      <c r="O8" s="657"/>
      <c r="P8" s="658">
        <f t="shared" si="5"/>
        <v>0</v>
      </c>
      <c r="Q8" s="68"/>
      <c r="R8" s="654">
        <f t="shared" si="6"/>
        <v>0</v>
      </c>
      <c r="S8" s="68"/>
      <c r="T8" s="654">
        <f t="shared" si="7"/>
        <v>0</v>
      </c>
      <c r="U8" s="68"/>
      <c r="V8" s="654">
        <f t="shared" si="8"/>
        <v>0</v>
      </c>
      <c r="W8" s="68"/>
      <c r="X8" s="654">
        <f t="shared" si="9"/>
        <v>0</v>
      </c>
      <c r="Y8" s="68"/>
      <c r="Z8" s="654">
        <f t="shared" si="10"/>
        <v>0</v>
      </c>
      <c r="AA8" s="659"/>
      <c r="AB8" s="654">
        <f t="shared" si="11"/>
        <v>0</v>
      </c>
      <c r="AC8" s="660">
        <f>'Commande Alimentaire'!D37</f>
        <v>1.81</v>
      </c>
      <c r="AD8" s="661">
        <f t="shared" si="12"/>
        <v>2.172</v>
      </c>
      <c r="AE8" s="640"/>
      <c r="AF8" s="662">
        <f t="shared" si="13"/>
        <v>0.9779999999999998</v>
      </c>
      <c r="AG8" s="663">
        <f t="shared" si="14"/>
        <v>0</v>
      </c>
      <c r="AH8" s="664">
        <f t="shared" si="15"/>
        <v>0</v>
      </c>
      <c r="AI8" s="665">
        <f t="shared" si="16"/>
        <v>0</v>
      </c>
      <c r="AJ8" s="666">
        <v>6</v>
      </c>
      <c r="AK8" s="667"/>
      <c r="AL8" s="668"/>
      <c r="AM8" s="672"/>
      <c r="AN8" s="670"/>
      <c r="AO8" s="671"/>
    </row>
    <row r="9" spans="1:41" ht="20.25">
      <c r="A9" s="626"/>
      <c r="B9" s="673" t="s">
        <v>526</v>
      </c>
      <c r="C9" s="674" t="s">
        <v>118</v>
      </c>
      <c r="D9" s="675">
        <v>20</v>
      </c>
      <c r="E9" s="676"/>
      <c r="F9" s="677">
        <f t="shared" si="0"/>
        <v>0</v>
      </c>
      <c r="G9" s="678"/>
      <c r="H9" s="677">
        <f t="shared" si="1"/>
        <v>0</v>
      </c>
      <c r="I9" s="678"/>
      <c r="J9" s="677">
        <f t="shared" si="2"/>
        <v>0</v>
      </c>
      <c r="K9" s="679"/>
      <c r="L9" s="677">
        <f t="shared" si="3"/>
        <v>0</v>
      </c>
      <c r="M9" s="680"/>
      <c r="N9" s="677">
        <f t="shared" si="4"/>
        <v>0</v>
      </c>
      <c r="O9" s="681"/>
      <c r="P9" s="682">
        <f t="shared" si="5"/>
        <v>0</v>
      </c>
      <c r="Q9" s="680"/>
      <c r="R9" s="677">
        <f t="shared" si="6"/>
        <v>0</v>
      </c>
      <c r="S9" s="680"/>
      <c r="T9" s="677">
        <f t="shared" si="7"/>
        <v>0</v>
      </c>
      <c r="U9" s="680"/>
      <c r="V9" s="677">
        <f t="shared" si="8"/>
        <v>0</v>
      </c>
      <c r="W9" s="680"/>
      <c r="X9" s="677">
        <f t="shared" si="9"/>
        <v>0</v>
      </c>
      <c r="Y9" s="680"/>
      <c r="Z9" s="677">
        <f t="shared" si="10"/>
        <v>0</v>
      </c>
      <c r="AA9" s="683"/>
      <c r="AB9" s="677">
        <f t="shared" si="11"/>
        <v>0</v>
      </c>
      <c r="AC9" s="684"/>
      <c r="AD9" s="685"/>
      <c r="AE9" s="640"/>
      <c r="AF9" s="686"/>
      <c r="AG9" s="687"/>
      <c r="AH9" s="688">
        <f t="shared" si="15"/>
        <v>0</v>
      </c>
      <c r="AI9" s="689"/>
      <c r="AJ9" s="690"/>
      <c r="AK9" s="691"/>
      <c r="AL9" s="692"/>
      <c r="AM9" s="693"/>
      <c r="AN9" s="694"/>
      <c r="AO9" s="695"/>
    </row>
    <row r="10" spans="1:41" ht="20.25" customHeight="1">
      <c r="A10" s="626"/>
      <c r="B10" s="696" t="s">
        <v>527</v>
      </c>
      <c r="C10" s="674" t="s">
        <v>528</v>
      </c>
      <c r="D10" s="675">
        <v>10</v>
      </c>
      <c r="E10" s="676"/>
      <c r="F10" s="677">
        <f t="shared" si="0"/>
        <v>0</v>
      </c>
      <c r="G10" s="678"/>
      <c r="H10" s="677">
        <f t="shared" si="1"/>
        <v>0</v>
      </c>
      <c r="I10" s="678"/>
      <c r="J10" s="677">
        <f t="shared" si="2"/>
        <v>0</v>
      </c>
      <c r="K10" s="679"/>
      <c r="L10" s="677">
        <f t="shared" si="3"/>
        <v>0</v>
      </c>
      <c r="M10" s="680"/>
      <c r="N10" s="677">
        <f t="shared" si="4"/>
        <v>0</v>
      </c>
      <c r="O10" s="681">
        <v>1</v>
      </c>
      <c r="P10" s="682">
        <f t="shared" si="5"/>
        <v>10</v>
      </c>
      <c r="Q10" s="680"/>
      <c r="R10" s="677">
        <f t="shared" si="6"/>
        <v>0</v>
      </c>
      <c r="S10" s="680"/>
      <c r="T10" s="677">
        <f t="shared" si="7"/>
        <v>0</v>
      </c>
      <c r="U10" s="680"/>
      <c r="V10" s="677">
        <f t="shared" si="8"/>
        <v>0</v>
      </c>
      <c r="W10" s="680"/>
      <c r="X10" s="677">
        <f t="shared" si="9"/>
        <v>0</v>
      </c>
      <c r="Y10" s="680"/>
      <c r="Z10" s="677">
        <f t="shared" si="10"/>
        <v>0</v>
      </c>
      <c r="AA10" s="683"/>
      <c r="AB10" s="677">
        <f t="shared" si="11"/>
        <v>0</v>
      </c>
      <c r="AC10" s="684"/>
      <c r="AD10" s="685"/>
      <c r="AE10" s="640"/>
      <c r="AF10" s="686"/>
      <c r="AG10" s="687"/>
      <c r="AH10" s="688">
        <f t="shared" si="15"/>
        <v>10</v>
      </c>
      <c r="AI10" s="689"/>
      <c r="AJ10" s="690"/>
      <c r="AK10" s="691"/>
      <c r="AL10" s="692"/>
      <c r="AM10" s="693"/>
      <c r="AN10" s="694"/>
      <c r="AO10" s="695"/>
    </row>
    <row r="11" spans="1:41" ht="20.25">
      <c r="A11" s="626"/>
      <c r="B11" s="696"/>
      <c r="C11" s="674" t="s">
        <v>529</v>
      </c>
      <c r="D11" s="675">
        <v>10</v>
      </c>
      <c r="E11" s="676"/>
      <c r="F11" s="677">
        <f t="shared" si="0"/>
        <v>0</v>
      </c>
      <c r="G11" s="678"/>
      <c r="H11" s="677">
        <f t="shared" si="1"/>
        <v>0</v>
      </c>
      <c r="I11" s="678"/>
      <c r="J11" s="677">
        <f t="shared" si="2"/>
        <v>0</v>
      </c>
      <c r="K11" s="679"/>
      <c r="L11" s="677">
        <f t="shared" si="3"/>
        <v>0</v>
      </c>
      <c r="M11" s="680"/>
      <c r="N11" s="677">
        <f t="shared" si="4"/>
        <v>0</v>
      </c>
      <c r="O11" s="681">
        <v>1</v>
      </c>
      <c r="P11" s="682">
        <f t="shared" si="5"/>
        <v>10</v>
      </c>
      <c r="Q11" s="680"/>
      <c r="R11" s="677">
        <f t="shared" si="6"/>
        <v>0</v>
      </c>
      <c r="S11" s="680"/>
      <c r="T11" s="677">
        <f t="shared" si="7"/>
        <v>0</v>
      </c>
      <c r="U11" s="680"/>
      <c r="V11" s="677">
        <f t="shared" si="8"/>
        <v>0</v>
      </c>
      <c r="W11" s="680"/>
      <c r="X11" s="677">
        <f t="shared" si="9"/>
        <v>0</v>
      </c>
      <c r="Y11" s="680"/>
      <c r="Z11" s="677">
        <f t="shared" si="10"/>
        <v>0</v>
      </c>
      <c r="AA11" s="683"/>
      <c r="AB11" s="677">
        <f t="shared" si="11"/>
        <v>0</v>
      </c>
      <c r="AC11" s="684"/>
      <c r="AD11" s="685"/>
      <c r="AE11" s="640"/>
      <c r="AF11" s="686"/>
      <c r="AG11" s="687"/>
      <c r="AH11" s="688">
        <f t="shared" si="15"/>
        <v>10</v>
      </c>
      <c r="AI11" s="689"/>
      <c r="AJ11" s="690"/>
      <c r="AK11" s="691"/>
      <c r="AL11" s="692"/>
      <c r="AM11" s="693"/>
      <c r="AN11" s="694"/>
      <c r="AO11" s="695"/>
    </row>
    <row r="12" spans="1:41" ht="21">
      <c r="A12" s="626"/>
      <c r="B12" s="696"/>
      <c r="C12" s="697" t="s">
        <v>530</v>
      </c>
      <c r="D12" s="698">
        <v>6</v>
      </c>
      <c r="E12" s="699"/>
      <c r="F12" s="700">
        <f t="shared" si="0"/>
        <v>0</v>
      </c>
      <c r="G12" s="701"/>
      <c r="H12" s="700">
        <f t="shared" si="1"/>
        <v>0</v>
      </c>
      <c r="I12" s="701"/>
      <c r="J12" s="700">
        <f t="shared" si="2"/>
        <v>0</v>
      </c>
      <c r="K12" s="702"/>
      <c r="L12" s="700">
        <f t="shared" si="3"/>
        <v>0</v>
      </c>
      <c r="M12" s="703"/>
      <c r="N12" s="700">
        <f t="shared" si="4"/>
        <v>0</v>
      </c>
      <c r="O12" s="704"/>
      <c r="P12" s="705">
        <f t="shared" si="5"/>
        <v>0</v>
      </c>
      <c r="Q12" s="703"/>
      <c r="R12" s="700">
        <f t="shared" si="6"/>
        <v>0</v>
      </c>
      <c r="S12" s="703"/>
      <c r="T12" s="700">
        <f t="shared" si="7"/>
        <v>0</v>
      </c>
      <c r="U12" s="703"/>
      <c r="V12" s="700">
        <f t="shared" si="8"/>
        <v>0</v>
      </c>
      <c r="W12" s="703"/>
      <c r="X12" s="700">
        <f t="shared" si="9"/>
        <v>0</v>
      </c>
      <c r="Y12" s="703"/>
      <c r="Z12" s="700">
        <f t="shared" si="10"/>
        <v>0</v>
      </c>
      <c r="AA12" s="706"/>
      <c r="AB12" s="700">
        <f t="shared" si="11"/>
        <v>0</v>
      </c>
      <c r="AC12" s="707">
        <f>'Commande Alimentaire'!D38</f>
        <v>4</v>
      </c>
      <c r="AD12" s="708">
        <f>(AC12*20)/100+AC12</f>
        <v>4.8</v>
      </c>
      <c r="AE12" s="640"/>
      <c r="AF12" s="709">
        <f aca="true" t="shared" si="20" ref="AF12:AF14">D12-AD12</f>
        <v>1.2000000000000002</v>
      </c>
      <c r="AG12" s="710">
        <f aca="true" t="shared" si="21" ref="AG12:AG14">AF12*AI12</f>
        <v>0</v>
      </c>
      <c r="AH12" s="711">
        <f t="shared" si="15"/>
        <v>0</v>
      </c>
      <c r="AI12" s="712">
        <f aca="true" t="shared" si="22" ref="AI12:AI14">AA12+Y12+W12+U12+S12+Q12+O12+M12+K12+I12+G12+E12</f>
        <v>0</v>
      </c>
      <c r="AJ12" s="713">
        <v>2</v>
      </c>
      <c r="AK12" s="714"/>
      <c r="AL12" s="715"/>
      <c r="AM12" s="716"/>
      <c r="AN12" s="717"/>
      <c r="AO12" s="718"/>
    </row>
    <row r="13" spans="1:41" ht="21" hidden="1">
      <c r="A13" s="719" t="s">
        <v>531</v>
      </c>
      <c r="B13" s="720" t="s">
        <v>532</v>
      </c>
      <c r="C13" s="721" t="s">
        <v>533</v>
      </c>
      <c r="D13" s="722">
        <v>10</v>
      </c>
      <c r="E13" s="723"/>
      <c r="F13" s="724">
        <f t="shared" si="0"/>
        <v>0</v>
      </c>
      <c r="G13" s="725"/>
      <c r="H13" s="724">
        <f t="shared" si="1"/>
        <v>0</v>
      </c>
      <c r="I13" s="725"/>
      <c r="J13" s="724">
        <f t="shared" si="2"/>
        <v>0</v>
      </c>
      <c r="K13" s="726"/>
      <c r="L13" s="724">
        <f t="shared" si="3"/>
        <v>0</v>
      </c>
      <c r="M13" s="49"/>
      <c r="N13" s="724">
        <f t="shared" si="4"/>
        <v>0</v>
      </c>
      <c r="O13" s="727"/>
      <c r="P13" s="728">
        <f t="shared" si="5"/>
        <v>0</v>
      </c>
      <c r="Q13" s="49"/>
      <c r="R13" s="724">
        <f t="shared" si="6"/>
        <v>0</v>
      </c>
      <c r="S13" s="49"/>
      <c r="T13" s="724">
        <f t="shared" si="7"/>
        <v>0</v>
      </c>
      <c r="U13" s="49"/>
      <c r="V13" s="724">
        <f t="shared" si="8"/>
        <v>0</v>
      </c>
      <c r="W13" s="49"/>
      <c r="X13" s="724">
        <f t="shared" si="9"/>
        <v>0</v>
      </c>
      <c r="Y13" s="49"/>
      <c r="Z13" s="724">
        <f t="shared" si="10"/>
        <v>0</v>
      </c>
      <c r="AA13" s="729"/>
      <c r="AB13" s="724">
        <f t="shared" si="11"/>
        <v>0</v>
      </c>
      <c r="AC13" s="730" t="s">
        <v>534</v>
      </c>
      <c r="AD13" s="731"/>
      <c r="AE13" s="731"/>
      <c r="AF13" s="732">
        <f t="shared" si="20"/>
        <v>10</v>
      </c>
      <c r="AG13" s="733">
        <f t="shared" si="21"/>
        <v>0</v>
      </c>
      <c r="AH13" s="734">
        <f t="shared" si="15"/>
        <v>0</v>
      </c>
      <c r="AI13" s="735">
        <f t="shared" si="22"/>
        <v>0</v>
      </c>
      <c r="AJ13" s="736"/>
      <c r="AK13" s="737"/>
      <c r="AL13" s="738">
        <f>AJ13+AK13</f>
        <v>0</v>
      </c>
      <c r="AM13" s="739">
        <f>AK13-AL13</f>
        <v>0</v>
      </c>
      <c r="AN13" s="740">
        <f>AI13-AM13</f>
        <v>0</v>
      </c>
      <c r="AO13" s="741"/>
    </row>
    <row r="14" spans="1:41" ht="21.75" hidden="1">
      <c r="A14" s="719"/>
      <c r="B14" s="673" t="s">
        <v>535</v>
      </c>
      <c r="C14" s="742" t="s">
        <v>536</v>
      </c>
      <c r="D14" s="675">
        <v>20</v>
      </c>
      <c r="E14" s="676"/>
      <c r="F14" s="677">
        <f t="shared" si="0"/>
        <v>0</v>
      </c>
      <c r="G14" s="678"/>
      <c r="H14" s="677">
        <f t="shared" si="1"/>
        <v>0</v>
      </c>
      <c r="I14" s="678"/>
      <c r="J14" s="677">
        <f t="shared" si="2"/>
        <v>0</v>
      </c>
      <c r="K14" s="679"/>
      <c r="L14" s="677">
        <f t="shared" si="3"/>
        <v>0</v>
      </c>
      <c r="M14" s="680"/>
      <c r="N14" s="677">
        <f t="shared" si="4"/>
        <v>0</v>
      </c>
      <c r="O14" s="681"/>
      <c r="P14" s="682">
        <f t="shared" si="5"/>
        <v>0</v>
      </c>
      <c r="Q14" s="680"/>
      <c r="R14" s="677">
        <f t="shared" si="6"/>
        <v>0</v>
      </c>
      <c r="S14" s="680"/>
      <c r="T14" s="677">
        <f t="shared" si="7"/>
        <v>0</v>
      </c>
      <c r="U14" s="680"/>
      <c r="V14" s="677">
        <f t="shared" si="8"/>
        <v>0</v>
      </c>
      <c r="W14" s="680"/>
      <c r="X14" s="677">
        <f t="shared" si="9"/>
        <v>0</v>
      </c>
      <c r="Y14" s="680"/>
      <c r="Z14" s="677">
        <f t="shared" si="10"/>
        <v>0</v>
      </c>
      <c r="AA14" s="683"/>
      <c r="AB14" s="677">
        <f t="shared" si="11"/>
        <v>0</v>
      </c>
      <c r="AC14" s="684" t="s">
        <v>537</v>
      </c>
      <c r="AD14" s="685"/>
      <c r="AE14" s="685"/>
      <c r="AF14" s="743">
        <f t="shared" si="20"/>
        <v>20</v>
      </c>
      <c r="AG14" s="744">
        <f t="shared" si="21"/>
        <v>0</v>
      </c>
      <c r="AH14" s="688">
        <f t="shared" si="15"/>
        <v>0</v>
      </c>
      <c r="AI14" s="689">
        <f t="shared" si="22"/>
        <v>0</v>
      </c>
      <c r="AJ14" s="745"/>
      <c r="AK14" s="737"/>
      <c r="AL14" s="746"/>
      <c r="AM14" s="747"/>
      <c r="AN14" s="748"/>
      <c r="AO14" s="749"/>
    </row>
    <row r="15" spans="1:41" ht="20.25">
      <c r="A15" s="719" t="s">
        <v>538</v>
      </c>
      <c r="B15" s="673" t="s">
        <v>67</v>
      </c>
      <c r="C15" s="742" t="s">
        <v>539</v>
      </c>
      <c r="D15" s="675">
        <v>7</v>
      </c>
      <c r="E15" s="676"/>
      <c r="F15" s="677">
        <f t="shared" si="0"/>
        <v>0</v>
      </c>
      <c r="G15" s="678"/>
      <c r="H15" s="677">
        <f t="shared" si="1"/>
        <v>0</v>
      </c>
      <c r="I15" s="678"/>
      <c r="J15" s="677">
        <f t="shared" si="2"/>
        <v>0</v>
      </c>
      <c r="K15" s="679"/>
      <c r="L15" s="677">
        <f t="shared" si="3"/>
        <v>0</v>
      </c>
      <c r="M15" s="680"/>
      <c r="N15" s="750">
        <f t="shared" si="4"/>
        <v>0</v>
      </c>
      <c r="O15" s="681"/>
      <c r="P15" s="682">
        <f t="shared" si="5"/>
        <v>0</v>
      </c>
      <c r="Q15" s="680"/>
      <c r="R15" s="677">
        <f t="shared" si="6"/>
        <v>0</v>
      </c>
      <c r="S15" s="680"/>
      <c r="T15" s="677">
        <f t="shared" si="7"/>
        <v>0</v>
      </c>
      <c r="U15" s="680"/>
      <c r="V15" s="677">
        <f t="shared" si="8"/>
        <v>0</v>
      </c>
      <c r="W15" s="680"/>
      <c r="X15" s="677">
        <f t="shared" si="9"/>
        <v>0</v>
      </c>
      <c r="Y15" s="680"/>
      <c r="Z15" s="677">
        <f t="shared" si="10"/>
        <v>0</v>
      </c>
      <c r="AA15" s="683"/>
      <c r="AB15" s="677">
        <f t="shared" si="11"/>
        <v>0</v>
      </c>
      <c r="AC15" s="684"/>
      <c r="AD15" s="685"/>
      <c r="AE15" s="685"/>
      <c r="AF15" s="751"/>
      <c r="AG15" s="752"/>
      <c r="AH15" s="688">
        <f t="shared" si="15"/>
        <v>0</v>
      </c>
      <c r="AI15" s="689"/>
      <c r="AJ15" s="753"/>
      <c r="AK15" s="737"/>
      <c r="AL15" s="754"/>
      <c r="AM15" s="747"/>
      <c r="AN15" s="748"/>
      <c r="AO15" s="755"/>
    </row>
    <row r="16" spans="1:41" ht="20.25">
      <c r="A16" s="756"/>
      <c r="B16" s="757"/>
      <c r="C16" s="758" t="s">
        <v>540</v>
      </c>
      <c r="D16" s="652">
        <v>11</v>
      </c>
      <c r="E16" s="653"/>
      <c r="F16" s="654">
        <f t="shared" si="0"/>
        <v>0</v>
      </c>
      <c r="G16" s="655"/>
      <c r="H16" s="654">
        <f t="shared" si="1"/>
        <v>0</v>
      </c>
      <c r="I16" s="655"/>
      <c r="J16" s="654">
        <f t="shared" si="2"/>
        <v>0</v>
      </c>
      <c r="K16" s="656"/>
      <c r="L16" s="654">
        <f t="shared" si="3"/>
        <v>0</v>
      </c>
      <c r="M16" s="68"/>
      <c r="N16" s="631">
        <f t="shared" si="4"/>
        <v>0</v>
      </c>
      <c r="O16" s="657"/>
      <c r="P16" s="658">
        <f t="shared" si="5"/>
        <v>0</v>
      </c>
      <c r="Q16" s="68"/>
      <c r="R16" s="654">
        <f t="shared" si="6"/>
        <v>0</v>
      </c>
      <c r="S16" s="68"/>
      <c r="T16" s="654">
        <f t="shared" si="7"/>
        <v>0</v>
      </c>
      <c r="U16" s="68"/>
      <c r="V16" s="654">
        <f t="shared" si="8"/>
        <v>0</v>
      </c>
      <c r="W16" s="68"/>
      <c r="X16" s="654">
        <f t="shared" si="9"/>
        <v>0</v>
      </c>
      <c r="Y16" s="68"/>
      <c r="Z16" s="654">
        <f t="shared" si="10"/>
        <v>0</v>
      </c>
      <c r="AA16" s="659"/>
      <c r="AB16" s="654">
        <f t="shared" si="11"/>
        <v>0</v>
      </c>
      <c r="AC16" s="660">
        <f>'Commande Souvenirs, librairie'!E38</f>
        <v>5</v>
      </c>
      <c r="AD16" s="661">
        <f>(AC16*20)/100+AC16</f>
        <v>6</v>
      </c>
      <c r="AE16" s="759"/>
      <c r="AF16" s="662">
        <f>D16-AD16</f>
        <v>5</v>
      </c>
      <c r="AG16" s="663">
        <f>AF16*AI16</f>
        <v>0</v>
      </c>
      <c r="AH16" s="664">
        <f t="shared" si="15"/>
        <v>0</v>
      </c>
      <c r="AI16" s="665">
        <f>AA16+Y16+W16+U16+S16+Q16+O16+M16+K16+I16+G16+E16</f>
        <v>0</v>
      </c>
      <c r="AJ16" s="666">
        <v>1</v>
      </c>
      <c r="AK16" s="667"/>
      <c r="AL16" s="668"/>
      <c r="AM16" s="669"/>
      <c r="AN16" s="670"/>
      <c r="AO16" s="671"/>
    </row>
    <row r="17" spans="1:41" ht="20.25">
      <c r="A17" s="756"/>
      <c r="B17" s="757"/>
      <c r="C17" s="758" t="s">
        <v>541</v>
      </c>
      <c r="D17" s="652">
        <v>13.5</v>
      </c>
      <c r="E17" s="653"/>
      <c r="F17" s="654">
        <f t="shared" si="0"/>
        <v>0</v>
      </c>
      <c r="G17" s="655"/>
      <c r="H17" s="654">
        <f t="shared" si="1"/>
        <v>0</v>
      </c>
      <c r="I17" s="655"/>
      <c r="J17" s="654">
        <f t="shared" si="2"/>
        <v>0</v>
      </c>
      <c r="K17" s="656"/>
      <c r="L17" s="654">
        <f t="shared" si="3"/>
        <v>0</v>
      </c>
      <c r="M17" s="68"/>
      <c r="N17" s="724">
        <f t="shared" si="4"/>
        <v>0</v>
      </c>
      <c r="O17" s="657"/>
      <c r="P17" s="658">
        <f t="shared" si="5"/>
        <v>0</v>
      </c>
      <c r="Q17" s="68"/>
      <c r="R17" s="654">
        <f t="shared" si="6"/>
        <v>0</v>
      </c>
      <c r="S17" s="68"/>
      <c r="T17" s="654">
        <f t="shared" si="7"/>
        <v>0</v>
      </c>
      <c r="U17" s="68"/>
      <c r="V17" s="654">
        <f t="shared" si="8"/>
        <v>0</v>
      </c>
      <c r="W17" s="68"/>
      <c r="X17" s="654">
        <f t="shared" si="9"/>
        <v>0</v>
      </c>
      <c r="Y17" s="68"/>
      <c r="Z17" s="654">
        <f t="shared" si="10"/>
        <v>0</v>
      </c>
      <c r="AA17" s="659"/>
      <c r="AB17" s="654">
        <f t="shared" si="11"/>
        <v>0</v>
      </c>
      <c r="AC17" s="660"/>
      <c r="AD17" s="661"/>
      <c r="AE17" s="759"/>
      <c r="AF17" s="662"/>
      <c r="AG17" s="663"/>
      <c r="AH17" s="664">
        <f t="shared" si="15"/>
        <v>0</v>
      </c>
      <c r="AI17" s="665"/>
      <c r="AJ17" s="666"/>
      <c r="AK17" s="667"/>
      <c r="AL17" s="668"/>
      <c r="AM17" s="669"/>
      <c r="AN17" s="670"/>
      <c r="AO17" s="671"/>
    </row>
    <row r="18" spans="1:41" ht="20.25">
      <c r="A18" s="756"/>
      <c r="B18" s="757"/>
      <c r="C18" s="758" t="s">
        <v>542</v>
      </c>
      <c r="D18" s="652">
        <v>7.5</v>
      </c>
      <c r="E18" s="653"/>
      <c r="F18" s="654">
        <f t="shared" si="0"/>
        <v>0</v>
      </c>
      <c r="G18" s="655"/>
      <c r="H18" s="654">
        <f t="shared" si="1"/>
        <v>0</v>
      </c>
      <c r="I18" s="655"/>
      <c r="J18" s="654">
        <f t="shared" si="2"/>
        <v>0</v>
      </c>
      <c r="K18" s="656"/>
      <c r="L18" s="654">
        <f t="shared" si="3"/>
        <v>0</v>
      </c>
      <c r="M18" s="68"/>
      <c r="N18" s="654">
        <f t="shared" si="4"/>
        <v>0</v>
      </c>
      <c r="O18" s="657"/>
      <c r="P18" s="658">
        <f t="shared" si="5"/>
        <v>0</v>
      </c>
      <c r="Q18" s="68"/>
      <c r="R18" s="654">
        <f t="shared" si="6"/>
        <v>0</v>
      </c>
      <c r="S18" s="68"/>
      <c r="T18" s="654">
        <f t="shared" si="7"/>
        <v>0</v>
      </c>
      <c r="U18" s="68"/>
      <c r="V18" s="654">
        <f t="shared" si="8"/>
        <v>0</v>
      </c>
      <c r="W18" s="68"/>
      <c r="X18" s="654">
        <f t="shared" si="9"/>
        <v>0</v>
      </c>
      <c r="Y18" s="68"/>
      <c r="Z18" s="654">
        <f t="shared" si="10"/>
        <v>0</v>
      </c>
      <c r="AA18" s="659"/>
      <c r="AB18" s="654">
        <f t="shared" si="11"/>
        <v>0</v>
      </c>
      <c r="AC18" s="660" t="e">
        <f>'Commande Souvenirs, librairie'!#REF!</f>
        <v>#REF!</v>
      </c>
      <c r="AD18" s="661" t="e">
        <f>(AC18*20)/100+AC18</f>
        <v>#REF!</v>
      </c>
      <c r="AE18" s="759"/>
      <c r="AF18" s="662" t="e">
        <f>D18-AD18</f>
        <v>#REF!</v>
      </c>
      <c r="AG18" s="663" t="e">
        <f>AF18*AI18</f>
        <v>#REF!</v>
      </c>
      <c r="AH18" s="664">
        <f t="shared" si="15"/>
        <v>0</v>
      </c>
      <c r="AI18" s="665">
        <f>AA18+Y18+W18+U18+S18+Q18+O18+M18+K18+I18+G18+E18</f>
        <v>0</v>
      </c>
      <c r="AJ18" s="666">
        <v>0</v>
      </c>
      <c r="AK18" s="667"/>
      <c r="AL18" s="668"/>
      <c r="AM18" s="669"/>
      <c r="AN18" s="670"/>
      <c r="AO18" s="671"/>
    </row>
    <row r="19" spans="1:41" ht="20.25">
      <c r="A19" s="756"/>
      <c r="B19" s="757"/>
      <c r="C19" s="758" t="s">
        <v>543</v>
      </c>
      <c r="D19" s="652">
        <v>11.9</v>
      </c>
      <c r="E19" s="653"/>
      <c r="F19" s="654">
        <f t="shared" si="0"/>
        <v>0</v>
      </c>
      <c r="G19" s="655"/>
      <c r="H19" s="654">
        <f t="shared" si="1"/>
        <v>0</v>
      </c>
      <c r="I19" s="655"/>
      <c r="J19" s="654">
        <f t="shared" si="2"/>
        <v>0</v>
      </c>
      <c r="K19" s="656"/>
      <c r="L19" s="654">
        <f t="shared" si="3"/>
        <v>0</v>
      </c>
      <c r="M19" s="68"/>
      <c r="N19" s="654">
        <f t="shared" si="4"/>
        <v>0</v>
      </c>
      <c r="O19" s="657"/>
      <c r="P19" s="658">
        <f t="shared" si="5"/>
        <v>0</v>
      </c>
      <c r="Q19" s="68"/>
      <c r="R19" s="654">
        <f t="shared" si="6"/>
        <v>0</v>
      </c>
      <c r="S19" s="68"/>
      <c r="T19" s="654">
        <f t="shared" si="7"/>
        <v>0</v>
      </c>
      <c r="U19" s="68"/>
      <c r="V19" s="654">
        <f t="shared" si="8"/>
        <v>0</v>
      </c>
      <c r="W19" s="68"/>
      <c r="X19" s="654">
        <f t="shared" si="9"/>
        <v>0</v>
      </c>
      <c r="Y19" s="68"/>
      <c r="Z19" s="654">
        <f t="shared" si="10"/>
        <v>0</v>
      </c>
      <c r="AA19" s="659"/>
      <c r="AB19" s="654">
        <f t="shared" si="11"/>
        <v>0</v>
      </c>
      <c r="AC19" s="660"/>
      <c r="AD19" s="661"/>
      <c r="AE19" s="759"/>
      <c r="AF19" s="662"/>
      <c r="AG19" s="663"/>
      <c r="AH19" s="664">
        <f t="shared" si="15"/>
        <v>0</v>
      </c>
      <c r="AI19" s="665"/>
      <c r="AJ19" s="666"/>
      <c r="AK19" s="667"/>
      <c r="AL19" s="668"/>
      <c r="AM19" s="669"/>
      <c r="AN19" s="670"/>
      <c r="AO19" s="671"/>
    </row>
    <row r="20" spans="1:41" ht="20.25">
      <c r="A20" s="756"/>
      <c r="B20" s="757"/>
      <c r="C20" s="758" t="s">
        <v>242</v>
      </c>
      <c r="D20" s="652">
        <v>5</v>
      </c>
      <c r="E20" s="653"/>
      <c r="F20" s="654">
        <f t="shared" si="0"/>
        <v>0</v>
      </c>
      <c r="G20" s="655"/>
      <c r="H20" s="654">
        <f t="shared" si="1"/>
        <v>0</v>
      </c>
      <c r="I20" s="655"/>
      <c r="J20" s="654">
        <f t="shared" si="2"/>
        <v>0</v>
      </c>
      <c r="K20" s="656"/>
      <c r="L20" s="654">
        <f t="shared" si="3"/>
        <v>0</v>
      </c>
      <c r="M20" s="68"/>
      <c r="N20" s="654">
        <f t="shared" si="4"/>
        <v>0</v>
      </c>
      <c r="O20" s="657"/>
      <c r="P20" s="658">
        <f t="shared" si="5"/>
        <v>0</v>
      </c>
      <c r="Q20" s="68"/>
      <c r="R20" s="654">
        <f t="shared" si="6"/>
        <v>0</v>
      </c>
      <c r="S20" s="68"/>
      <c r="T20" s="654">
        <f t="shared" si="7"/>
        <v>0</v>
      </c>
      <c r="U20" s="68"/>
      <c r="V20" s="654">
        <f t="shared" si="8"/>
        <v>0</v>
      </c>
      <c r="W20" s="68"/>
      <c r="X20" s="654">
        <f t="shared" si="9"/>
        <v>0</v>
      </c>
      <c r="Y20" s="68"/>
      <c r="Z20" s="654">
        <f t="shared" si="10"/>
        <v>0</v>
      </c>
      <c r="AA20" s="659"/>
      <c r="AB20" s="654">
        <f t="shared" si="11"/>
        <v>0</v>
      </c>
      <c r="AC20" s="660">
        <f>'Commande Souvenirs, librairie'!E56</f>
        <v>3.33</v>
      </c>
      <c r="AD20" s="661">
        <f aca="true" t="shared" si="23" ref="AD20:AD22">(AC20*20)/100+AC20</f>
        <v>3.996</v>
      </c>
      <c r="AE20" s="759"/>
      <c r="AF20" s="662">
        <f aca="true" t="shared" si="24" ref="AF20:AF29">D20-AD20</f>
        <v>1.004</v>
      </c>
      <c r="AG20" s="663">
        <f aca="true" t="shared" si="25" ref="AG20:AG29">AF20*AI20</f>
        <v>0</v>
      </c>
      <c r="AH20" s="664">
        <f t="shared" si="15"/>
        <v>0</v>
      </c>
      <c r="AI20" s="665">
        <f aca="true" t="shared" si="26" ref="AI20:AI29">AA20+Y20+W20+U20+S20+Q20+O20+M20+K20+I20+G20+E20</f>
        <v>0</v>
      </c>
      <c r="AJ20" s="666">
        <v>1</v>
      </c>
      <c r="AK20" s="667"/>
      <c r="AL20" s="668"/>
      <c r="AM20" s="669"/>
      <c r="AN20" s="670"/>
      <c r="AO20" s="671"/>
    </row>
    <row r="21" spans="1:41" ht="20.25">
      <c r="A21" s="756"/>
      <c r="B21" s="757"/>
      <c r="C21" s="758" t="s">
        <v>544</v>
      </c>
      <c r="D21" s="652">
        <v>2</v>
      </c>
      <c r="E21" s="760">
        <v>4</v>
      </c>
      <c r="F21" s="654">
        <f t="shared" si="0"/>
        <v>8</v>
      </c>
      <c r="G21" s="655"/>
      <c r="H21" s="654">
        <f t="shared" si="1"/>
        <v>0</v>
      </c>
      <c r="I21" s="655"/>
      <c r="J21" s="654">
        <f t="shared" si="2"/>
        <v>0</v>
      </c>
      <c r="K21" s="656">
        <v>1</v>
      </c>
      <c r="L21" s="654">
        <f t="shared" si="3"/>
        <v>2</v>
      </c>
      <c r="M21" s="68">
        <v>2</v>
      </c>
      <c r="N21" s="654">
        <f t="shared" si="4"/>
        <v>4</v>
      </c>
      <c r="O21" s="657">
        <v>1</v>
      </c>
      <c r="P21" s="658">
        <f t="shared" si="5"/>
        <v>2</v>
      </c>
      <c r="Q21" s="68"/>
      <c r="R21" s="654">
        <f t="shared" si="6"/>
        <v>0</v>
      </c>
      <c r="S21" s="68"/>
      <c r="T21" s="654">
        <f t="shared" si="7"/>
        <v>0</v>
      </c>
      <c r="U21" s="68"/>
      <c r="V21" s="654">
        <f t="shared" si="8"/>
        <v>0</v>
      </c>
      <c r="W21" s="68"/>
      <c r="X21" s="654">
        <f t="shared" si="9"/>
        <v>0</v>
      </c>
      <c r="Y21" s="68"/>
      <c r="Z21" s="654">
        <f t="shared" si="10"/>
        <v>0</v>
      </c>
      <c r="AA21" s="659"/>
      <c r="AB21" s="654">
        <f t="shared" si="11"/>
        <v>0</v>
      </c>
      <c r="AC21" s="660">
        <f>'Commande Souvenirs, librairie'!E58</f>
        <v>0.89</v>
      </c>
      <c r="AD21" s="661">
        <f t="shared" si="23"/>
        <v>1.068</v>
      </c>
      <c r="AE21" s="759"/>
      <c r="AF21" s="662">
        <f t="shared" si="24"/>
        <v>0.9319999999999999</v>
      </c>
      <c r="AG21" s="663">
        <f t="shared" si="25"/>
        <v>7.4559999999999995</v>
      </c>
      <c r="AH21" s="664">
        <f t="shared" si="15"/>
        <v>16</v>
      </c>
      <c r="AI21" s="665">
        <f t="shared" si="26"/>
        <v>8</v>
      </c>
      <c r="AJ21" s="666">
        <v>37</v>
      </c>
      <c r="AK21" s="667"/>
      <c r="AL21" s="668"/>
      <c r="AM21" s="669"/>
      <c r="AN21" s="670"/>
      <c r="AO21" s="671"/>
    </row>
    <row r="22" spans="1:41" ht="20.25">
      <c r="A22" s="756"/>
      <c r="B22" s="757"/>
      <c r="C22" s="758" t="s">
        <v>545</v>
      </c>
      <c r="D22" s="652">
        <v>1</v>
      </c>
      <c r="E22" s="653"/>
      <c r="F22" s="654">
        <f t="shared" si="0"/>
        <v>0</v>
      </c>
      <c r="G22" s="655"/>
      <c r="H22" s="654">
        <f t="shared" si="1"/>
        <v>0</v>
      </c>
      <c r="I22" s="655"/>
      <c r="J22" s="654">
        <f t="shared" si="2"/>
        <v>0</v>
      </c>
      <c r="K22" s="656"/>
      <c r="L22" s="654">
        <f t="shared" si="3"/>
        <v>0</v>
      </c>
      <c r="M22" s="68"/>
      <c r="N22" s="654">
        <f t="shared" si="4"/>
        <v>0</v>
      </c>
      <c r="O22" s="657"/>
      <c r="P22" s="658">
        <f t="shared" si="5"/>
        <v>0</v>
      </c>
      <c r="Q22" s="68"/>
      <c r="R22" s="654">
        <f t="shared" si="6"/>
        <v>0</v>
      </c>
      <c r="S22" s="68"/>
      <c r="T22" s="654">
        <f t="shared" si="7"/>
        <v>0</v>
      </c>
      <c r="U22" s="68"/>
      <c r="V22" s="654">
        <f t="shared" si="8"/>
        <v>0</v>
      </c>
      <c r="W22" s="68"/>
      <c r="X22" s="654">
        <f t="shared" si="9"/>
        <v>0</v>
      </c>
      <c r="Y22" s="68"/>
      <c r="Z22" s="654">
        <f t="shared" si="10"/>
        <v>0</v>
      </c>
      <c r="AA22" s="659"/>
      <c r="AB22" s="654">
        <f t="shared" si="11"/>
        <v>0</v>
      </c>
      <c r="AC22" s="660">
        <f>'Commande Souvenirs, librairie'!E57</f>
        <v>0.58</v>
      </c>
      <c r="AD22" s="661">
        <f t="shared" si="23"/>
        <v>0.696</v>
      </c>
      <c r="AE22" s="759"/>
      <c r="AF22" s="662">
        <f t="shared" si="24"/>
        <v>0.30400000000000005</v>
      </c>
      <c r="AG22" s="663">
        <f t="shared" si="25"/>
        <v>0</v>
      </c>
      <c r="AH22" s="664">
        <f t="shared" si="15"/>
        <v>0</v>
      </c>
      <c r="AI22" s="665">
        <f t="shared" si="26"/>
        <v>0</v>
      </c>
      <c r="AJ22" s="666">
        <v>4</v>
      </c>
      <c r="AK22" s="667"/>
      <c r="AL22" s="668"/>
      <c r="AM22" s="669"/>
      <c r="AN22" s="670"/>
      <c r="AO22" s="671"/>
    </row>
    <row r="23" spans="1:41" ht="20.25">
      <c r="A23" s="756"/>
      <c r="B23" s="757"/>
      <c r="C23" s="758" t="s">
        <v>546</v>
      </c>
      <c r="D23" s="652">
        <v>2</v>
      </c>
      <c r="E23" s="653"/>
      <c r="F23" s="654">
        <f t="shared" si="0"/>
        <v>0</v>
      </c>
      <c r="G23" s="761"/>
      <c r="H23" s="654">
        <f t="shared" si="1"/>
        <v>0</v>
      </c>
      <c r="I23" s="655"/>
      <c r="J23" s="654">
        <f t="shared" si="2"/>
        <v>0</v>
      </c>
      <c r="K23" s="656"/>
      <c r="L23" s="654">
        <f t="shared" si="3"/>
        <v>0</v>
      </c>
      <c r="M23" s="68">
        <v>1</v>
      </c>
      <c r="N23" s="654">
        <f t="shared" si="4"/>
        <v>2</v>
      </c>
      <c r="O23" s="657">
        <v>1</v>
      </c>
      <c r="P23" s="658">
        <f t="shared" si="5"/>
        <v>2</v>
      </c>
      <c r="Q23" s="68"/>
      <c r="R23" s="654">
        <f t="shared" si="6"/>
        <v>0</v>
      </c>
      <c r="S23" s="68"/>
      <c r="T23" s="654">
        <f t="shared" si="7"/>
        <v>0</v>
      </c>
      <c r="U23" s="68"/>
      <c r="V23" s="654">
        <f t="shared" si="8"/>
        <v>0</v>
      </c>
      <c r="W23" s="68"/>
      <c r="X23" s="654">
        <f t="shared" si="9"/>
        <v>0</v>
      </c>
      <c r="Y23" s="68"/>
      <c r="Z23" s="654">
        <f t="shared" si="10"/>
        <v>0</v>
      </c>
      <c r="AA23" s="659"/>
      <c r="AB23" s="654">
        <f t="shared" si="11"/>
        <v>0</v>
      </c>
      <c r="AC23" s="660"/>
      <c r="AD23" s="661">
        <v>0</v>
      </c>
      <c r="AE23" s="759"/>
      <c r="AF23" s="662">
        <f t="shared" si="24"/>
        <v>2</v>
      </c>
      <c r="AG23" s="663">
        <f t="shared" si="25"/>
        <v>4</v>
      </c>
      <c r="AH23" s="664">
        <f t="shared" si="15"/>
        <v>4</v>
      </c>
      <c r="AI23" s="665">
        <f t="shared" si="26"/>
        <v>2</v>
      </c>
      <c r="AJ23" s="666">
        <v>5</v>
      </c>
      <c r="AK23" s="667"/>
      <c r="AL23" s="668"/>
      <c r="AM23" s="669"/>
      <c r="AN23" s="670"/>
      <c r="AO23" s="671"/>
    </row>
    <row r="24" spans="1:41" ht="20.25">
      <c r="A24" s="756"/>
      <c r="B24" s="757"/>
      <c r="C24" s="758" t="s">
        <v>547</v>
      </c>
      <c r="D24" s="652">
        <v>4</v>
      </c>
      <c r="E24" s="653"/>
      <c r="F24" s="654">
        <f t="shared" si="0"/>
        <v>0</v>
      </c>
      <c r="G24" s="655"/>
      <c r="H24" s="654">
        <f t="shared" si="1"/>
        <v>0</v>
      </c>
      <c r="I24" s="762">
        <v>1</v>
      </c>
      <c r="J24" s="654"/>
      <c r="K24" s="656"/>
      <c r="L24" s="654">
        <f t="shared" si="3"/>
        <v>0</v>
      </c>
      <c r="M24" s="68"/>
      <c r="N24" s="654">
        <f t="shared" si="4"/>
        <v>0</v>
      </c>
      <c r="O24" s="657"/>
      <c r="P24" s="658">
        <f t="shared" si="5"/>
        <v>0</v>
      </c>
      <c r="Q24" s="68"/>
      <c r="R24" s="654">
        <f t="shared" si="6"/>
        <v>0</v>
      </c>
      <c r="S24" s="68"/>
      <c r="T24" s="654">
        <f t="shared" si="7"/>
        <v>0</v>
      </c>
      <c r="U24" s="68"/>
      <c r="V24" s="654">
        <f t="shared" si="8"/>
        <v>0</v>
      </c>
      <c r="W24" s="68"/>
      <c r="X24" s="654">
        <f t="shared" si="9"/>
        <v>0</v>
      </c>
      <c r="Y24" s="68"/>
      <c r="Z24" s="654">
        <f t="shared" si="10"/>
        <v>0</v>
      </c>
      <c r="AA24" s="659"/>
      <c r="AB24" s="654">
        <f t="shared" si="11"/>
        <v>0</v>
      </c>
      <c r="AC24" s="660">
        <v>2.92</v>
      </c>
      <c r="AD24" s="661">
        <f aca="true" t="shared" si="27" ref="AD24:AD29">(AC24*20)/100+AC24</f>
        <v>3.504</v>
      </c>
      <c r="AE24" s="759"/>
      <c r="AF24" s="662">
        <f t="shared" si="24"/>
        <v>0.496</v>
      </c>
      <c r="AG24" s="663">
        <f t="shared" si="25"/>
        <v>0.496</v>
      </c>
      <c r="AH24" s="664">
        <f t="shared" si="15"/>
        <v>0</v>
      </c>
      <c r="AI24" s="665">
        <f t="shared" si="26"/>
        <v>1</v>
      </c>
      <c r="AJ24" s="666">
        <v>1</v>
      </c>
      <c r="AK24" s="667"/>
      <c r="AL24" s="668"/>
      <c r="AM24" s="669"/>
      <c r="AN24" s="670"/>
      <c r="AO24" s="671"/>
    </row>
    <row r="25" spans="1:41" ht="20.25">
      <c r="A25" s="756"/>
      <c r="B25" s="757"/>
      <c r="C25" s="758" t="s">
        <v>548</v>
      </c>
      <c r="D25" s="652">
        <v>29</v>
      </c>
      <c r="E25" s="653"/>
      <c r="F25" s="654">
        <f t="shared" si="0"/>
        <v>0</v>
      </c>
      <c r="G25" s="655"/>
      <c r="H25" s="654">
        <f t="shared" si="1"/>
        <v>0</v>
      </c>
      <c r="I25" s="655"/>
      <c r="J25" s="654">
        <f aca="true" t="shared" si="28" ref="J25:J90">I25*D25</f>
        <v>0</v>
      </c>
      <c r="K25" s="656"/>
      <c r="L25" s="654">
        <f t="shared" si="3"/>
        <v>0</v>
      </c>
      <c r="M25" s="68"/>
      <c r="N25" s="654">
        <f t="shared" si="4"/>
        <v>0</v>
      </c>
      <c r="O25" s="657"/>
      <c r="P25" s="658">
        <f t="shared" si="5"/>
        <v>0</v>
      </c>
      <c r="Q25" s="68"/>
      <c r="R25" s="654">
        <f t="shared" si="6"/>
        <v>0</v>
      </c>
      <c r="S25" s="68"/>
      <c r="T25" s="654">
        <f t="shared" si="7"/>
        <v>0</v>
      </c>
      <c r="U25" s="68"/>
      <c r="V25" s="654">
        <f t="shared" si="8"/>
        <v>0</v>
      </c>
      <c r="W25" s="68"/>
      <c r="X25" s="654">
        <f t="shared" si="9"/>
        <v>0</v>
      </c>
      <c r="Y25" s="68"/>
      <c r="Z25" s="654">
        <f t="shared" si="10"/>
        <v>0</v>
      </c>
      <c r="AA25" s="659"/>
      <c r="AB25" s="654">
        <f t="shared" si="11"/>
        <v>0</v>
      </c>
      <c r="AC25" s="660">
        <f>'Commande Souvenirs, librairie'!E59</f>
        <v>19</v>
      </c>
      <c r="AD25" s="661">
        <f t="shared" si="27"/>
        <v>22.8</v>
      </c>
      <c r="AE25" s="759"/>
      <c r="AF25" s="662">
        <f t="shared" si="24"/>
        <v>6.199999999999999</v>
      </c>
      <c r="AG25" s="663">
        <f t="shared" si="25"/>
        <v>0</v>
      </c>
      <c r="AH25" s="664">
        <f t="shared" si="15"/>
        <v>0</v>
      </c>
      <c r="AI25" s="665">
        <f t="shared" si="26"/>
        <v>0</v>
      </c>
      <c r="AJ25" s="666">
        <v>3</v>
      </c>
      <c r="AK25" s="667"/>
      <c r="AL25" s="668"/>
      <c r="AM25" s="669"/>
      <c r="AN25" s="670"/>
      <c r="AO25" s="671"/>
    </row>
    <row r="26" spans="1:41" ht="20.25">
      <c r="A26" s="756"/>
      <c r="B26" s="757"/>
      <c r="C26" s="758" t="s">
        <v>549</v>
      </c>
      <c r="D26" s="652">
        <v>29.5</v>
      </c>
      <c r="E26" s="653"/>
      <c r="F26" s="654">
        <f t="shared" si="0"/>
        <v>0</v>
      </c>
      <c r="G26" s="655"/>
      <c r="H26" s="654">
        <f t="shared" si="1"/>
        <v>0</v>
      </c>
      <c r="I26" s="655"/>
      <c r="J26" s="654">
        <f t="shared" si="28"/>
        <v>0</v>
      </c>
      <c r="K26" s="656"/>
      <c r="L26" s="654">
        <f t="shared" si="3"/>
        <v>0</v>
      </c>
      <c r="M26" s="68"/>
      <c r="N26" s="654">
        <f t="shared" si="4"/>
        <v>0</v>
      </c>
      <c r="O26" s="657"/>
      <c r="P26" s="658">
        <f t="shared" si="5"/>
        <v>0</v>
      </c>
      <c r="Q26" s="68"/>
      <c r="R26" s="654">
        <f t="shared" si="6"/>
        <v>0</v>
      </c>
      <c r="S26" s="68"/>
      <c r="T26" s="654">
        <f t="shared" si="7"/>
        <v>0</v>
      </c>
      <c r="U26" s="68"/>
      <c r="V26" s="654">
        <f t="shared" si="8"/>
        <v>0</v>
      </c>
      <c r="W26" s="68"/>
      <c r="X26" s="654">
        <f t="shared" si="9"/>
        <v>0</v>
      </c>
      <c r="Y26" s="68"/>
      <c r="Z26" s="654">
        <f t="shared" si="10"/>
        <v>0</v>
      </c>
      <c r="AA26" s="659"/>
      <c r="AB26" s="654">
        <f t="shared" si="11"/>
        <v>0</v>
      </c>
      <c r="AC26" s="660">
        <f>'Commande Souvenirs, librairie'!E60</f>
        <v>19</v>
      </c>
      <c r="AD26" s="661">
        <f t="shared" si="27"/>
        <v>22.8</v>
      </c>
      <c r="AE26" s="759"/>
      <c r="AF26" s="662">
        <f t="shared" si="24"/>
        <v>6.699999999999999</v>
      </c>
      <c r="AG26" s="663">
        <f t="shared" si="25"/>
        <v>0</v>
      </c>
      <c r="AH26" s="664">
        <f t="shared" si="15"/>
        <v>0</v>
      </c>
      <c r="AI26" s="665">
        <f t="shared" si="26"/>
        <v>0</v>
      </c>
      <c r="AJ26" s="666">
        <v>3</v>
      </c>
      <c r="AK26" s="667"/>
      <c r="AL26" s="668">
        <f>AJ26+AK26</f>
        <v>3</v>
      </c>
      <c r="AM26" s="669"/>
      <c r="AN26" s="670"/>
      <c r="AO26" s="671"/>
    </row>
    <row r="27" spans="1:41" ht="20.25">
      <c r="A27" s="756"/>
      <c r="B27" s="757"/>
      <c r="C27" s="758" t="s">
        <v>550</v>
      </c>
      <c r="D27" s="652">
        <v>3.5</v>
      </c>
      <c r="E27" s="653"/>
      <c r="F27" s="654">
        <f t="shared" si="0"/>
        <v>0</v>
      </c>
      <c r="G27" s="655"/>
      <c r="H27" s="654">
        <f t="shared" si="1"/>
        <v>0</v>
      </c>
      <c r="I27" s="655"/>
      <c r="J27" s="654">
        <f t="shared" si="28"/>
        <v>0</v>
      </c>
      <c r="K27" s="656"/>
      <c r="L27" s="654">
        <f t="shared" si="3"/>
        <v>0</v>
      </c>
      <c r="M27" s="68"/>
      <c r="N27" s="654">
        <f t="shared" si="4"/>
        <v>0</v>
      </c>
      <c r="O27" s="657"/>
      <c r="P27" s="658">
        <f t="shared" si="5"/>
        <v>0</v>
      </c>
      <c r="Q27" s="68"/>
      <c r="R27" s="654">
        <f t="shared" si="6"/>
        <v>0</v>
      </c>
      <c r="S27" s="68"/>
      <c r="T27" s="654">
        <f t="shared" si="7"/>
        <v>0</v>
      </c>
      <c r="U27" s="68"/>
      <c r="V27" s="654">
        <f t="shared" si="8"/>
        <v>0</v>
      </c>
      <c r="W27" s="68"/>
      <c r="X27" s="654">
        <f t="shared" si="9"/>
        <v>0</v>
      </c>
      <c r="Y27" s="68"/>
      <c r="Z27" s="654">
        <f t="shared" si="10"/>
        <v>0</v>
      </c>
      <c r="AA27" s="659"/>
      <c r="AB27" s="654">
        <f t="shared" si="11"/>
        <v>0</v>
      </c>
      <c r="AC27" s="660" t="e">
        <f>'Commande Souvenirs, librairie'!#REF!</f>
        <v>#REF!</v>
      </c>
      <c r="AD27" s="661" t="e">
        <f t="shared" si="27"/>
        <v>#REF!</v>
      </c>
      <c r="AE27" s="759"/>
      <c r="AF27" s="662" t="e">
        <f t="shared" si="24"/>
        <v>#REF!</v>
      </c>
      <c r="AG27" s="663" t="e">
        <f t="shared" si="25"/>
        <v>#REF!</v>
      </c>
      <c r="AH27" s="664">
        <f t="shared" si="15"/>
        <v>0</v>
      </c>
      <c r="AI27" s="665">
        <f t="shared" si="26"/>
        <v>0</v>
      </c>
      <c r="AJ27" s="666">
        <v>6</v>
      </c>
      <c r="AK27" s="667"/>
      <c r="AL27" s="668"/>
      <c r="AM27" s="669"/>
      <c r="AN27" s="670"/>
      <c r="AO27" s="671"/>
    </row>
    <row r="28" spans="1:41" ht="20.25">
      <c r="A28" s="756"/>
      <c r="B28" s="757"/>
      <c r="C28" s="758" t="s">
        <v>551</v>
      </c>
      <c r="D28" s="652">
        <v>10</v>
      </c>
      <c r="E28" s="653"/>
      <c r="F28" s="654">
        <f t="shared" si="0"/>
        <v>0</v>
      </c>
      <c r="G28" s="655"/>
      <c r="H28" s="654">
        <f t="shared" si="1"/>
        <v>0</v>
      </c>
      <c r="I28" s="655"/>
      <c r="J28" s="654">
        <f t="shared" si="28"/>
        <v>0</v>
      </c>
      <c r="K28" s="656"/>
      <c r="L28" s="654">
        <f t="shared" si="3"/>
        <v>0</v>
      </c>
      <c r="M28" s="68"/>
      <c r="N28" s="654">
        <f t="shared" si="4"/>
        <v>0</v>
      </c>
      <c r="O28" s="657">
        <v>2</v>
      </c>
      <c r="P28" s="658">
        <f t="shared" si="5"/>
        <v>20</v>
      </c>
      <c r="Q28" s="68"/>
      <c r="R28" s="654">
        <f t="shared" si="6"/>
        <v>0</v>
      </c>
      <c r="S28" s="68"/>
      <c r="T28" s="654">
        <f t="shared" si="7"/>
        <v>0</v>
      </c>
      <c r="U28" s="68"/>
      <c r="V28" s="654">
        <f t="shared" si="8"/>
        <v>0</v>
      </c>
      <c r="W28" s="68"/>
      <c r="X28" s="654">
        <f t="shared" si="9"/>
        <v>0</v>
      </c>
      <c r="Y28" s="68"/>
      <c r="Z28" s="654">
        <f t="shared" si="10"/>
        <v>0</v>
      </c>
      <c r="AA28" s="659"/>
      <c r="AB28" s="654">
        <f t="shared" si="11"/>
        <v>0</v>
      </c>
      <c r="AC28" s="660">
        <f>'Commande Souvenirs, librairie'!E144</f>
        <v>5.85</v>
      </c>
      <c r="AD28" s="661">
        <f t="shared" si="27"/>
        <v>7.02</v>
      </c>
      <c r="AE28" s="759"/>
      <c r="AF28" s="662">
        <f t="shared" si="24"/>
        <v>2.9800000000000004</v>
      </c>
      <c r="AG28" s="663">
        <f t="shared" si="25"/>
        <v>5.960000000000001</v>
      </c>
      <c r="AH28" s="664">
        <f t="shared" si="15"/>
        <v>20</v>
      </c>
      <c r="AI28" s="665">
        <f t="shared" si="26"/>
        <v>2</v>
      </c>
      <c r="AJ28" s="666">
        <v>0</v>
      </c>
      <c r="AK28" s="667"/>
      <c r="AL28" s="668"/>
      <c r="AM28" s="669"/>
      <c r="AN28" s="670"/>
      <c r="AO28" s="671"/>
    </row>
    <row r="29" spans="1:41" ht="20.25">
      <c r="A29" s="756"/>
      <c r="B29" s="757"/>
      <c r="C29" s="758" t="s">
        <v>552</v>
      </c>
      <c r="D29" s="652">
        <v>21</v>
      </c>
      <c r="E29" s="653"/>
      <c r="F29" s="654">
        <f t="shared" si="0"/>
        <v>0</v>
      </c>
      <c r="G29" s="655"/>
      <c r="H29" s="654">
        <f t="shared" si="1"/>
        <v>0</v>
      </c>
      <c r="I29" s="655"/>
      <c r="J29" s="654">
        <f t="shared" si="28"/>
        <v>0</v>
      </c>
      <c r="K29" s="656"/>
      <c r="L29" s="654">
        <f t="shared" si="3"/>
        <v>0</v>
      </c>
      <c r="M29" s="68"/>
      <c r="N29" s="654">
        <f t="shared" si="4"/>
        <v>0</v>
      </c>
      <c r="O29" s="657"/>
      <c r="P29" s="658">
        <f t="shared" si="5"/>
        <v>0</v>
      </c>
      <c r="Q29" s="68"/>
      <c r="R29" s="654">
        <f t="shared" si="6"/>
        <v>0</v>
      </c>
      <c r="S29" s="68"/>
      <c r="T29" s="654">
        <f t="shared" si="7"/>
        <v>0</v>
      </c>
      <c r="U29" s="68"/>
      <c r="V29" s="654">
        <f t="shared" si="8"/>
        <v>0</v>
      </c>
      <c r="W29" s="68"/>
      <c r="X29" s="654">
        <f t="shared" si="9"/>
        <v>0</v>
      </c>
      <c r="Y29" s="68"/>
      <c r="Z29" s="654">
        <f t="shared" si="10"/>
        <v>0</v>
      </c>
      <c r="AA29" s="659"/>
      <c r="AB29" s="654">
        <f t="shared" si="11"/>
        <v>0</v>
      </c>
      <c r="AC29" s="660">
        <f>'Commande Souvenirs, librairie'!E145</f>
        <v>14.1</v>
      </c>
      <c r="AD29" s="661">
        <f t="shared" si="27"/>
        <v>16.919999999999998</v>
      </c>
      <c r="AE29" s="759"/>
      <c r="AF29" s="662">
        <f t="shared" si="24"/>
        <v>4.080000000000002</v>
      </c>
      <c r="AG29" s="663">
        <f t="shared" si="25"/>
        <v>0</v>
      </c>
      <c r="AH29" s="664">
        <f t="shared" si="15"/>
        <v>0</v>
      </c>
      <c r="AI29" s="665">
        <f t="shared" si="26"/>
        <v>0</v>
      </c>
      <c r="AJ29" s="666">
        <v>2</v>
      </c>
      <c r="AK29" s="667"/>
      <c r="AL29" s="668"/>
      <c r="AM29" s="669"/>
      <c r="AN29" s="670"/>
      <c r="AO29" s="671"/>
    </row>
    <row r="30" spans="1:41" ht="20.25" customHeight="1">
      <c r="A30" s="756"/>
      <c r="B30" s="696" t="s">
        <v>247</v>
      </c>
      <c r="C30" s="763" t="s">
        <v>553</v>
      </c>
      <c r="D30" s="675">
        <v>12</v>
      </c>
      <c r="E30" s="676"/>
      <c r="F30" s="677">
        <f t="shared" si="0"/>
        <v>0</v>
      </c>
      <c r="G30" s="678"/>
      <c r="H30" s="677">
        <f t="shared" si="1"/>
        <v>0</v>
      </c>
      <c r="I30" s="678"/>
      <c r="J30" s="677">
        <f t="shared" si="28"/>
        <v>0</v>
      </c>
      <c r="K30" s="679"/>
      <c r="L30" s="677">
        <f t="shared" si="3"/>
        <v>0</v>
      </c>
      <c r="M30" s="680"/>
      <c r="N30" s="677">
        <f t="shared" si="4"/>
        <v>0</v>
      </c>
      <c r="O30" s="681"/>
      <c r="P30" s="682">
        <f t="shared" si="5"/>
        <v>0</v>
      </c>
      <c r="Q30" s="680"/>
      <c r="R30" s="677">
        <f t="shared" si="6"/>
        <v>0</v>
      </c>
      <c r="S30" s="680"/>
      <c r="T30" s="677">
        <f t="shared" si="7"/>
        <v>0</v>
      </c>
      <c r="U30" s="680"/>
      <c r="V30" s="677">
        <f t="shared" si="8"/>
        <v>0</v>
      </c>
      <c r="W30" s="680"/>
      <c r="X30" s="677">
        <f t="shared" si="9"/>
        <v>0</v>
      </c>
      <c r="Y30" s="680"/>
      <c r="Z30" s="677">
        <f t="shared" si="10"/>
        <v>0</v>
      </c>
      <c r="AA30" s="683"/>
      <c r="AB30" s="677">
        <f t="shared" si="11"/>
        <v>0</v>
      </c>
      <c r="AC30" s="684"/>
      <c r="AD30" s="685"/>
      <c r="AE30" s="764"/>
      <c r="AF30" s="686"/>
      <c r="AG30" s="687"/>
      <c r="AH30" s="688">
        <f t="shared" si="15"/>
        <v>0</v>
      </c>
      <c r="AI30" s="689"/>
      <c r="AJ30" s="690"/>
      <c r="AK30" s="691"/>
      <c r="AL30" s="692"/>
      <c r="AM30" s="765"/>
      <c r="AN30" s="694"/>
      <c r="AO30" s="695"/>
    </row>
    <row r="31" spans="1:41" ht="20.25">
      <c r="A31" s="756"/>
      <c r="B31" s="696"/>
      <c r="C31" s="763" t="s">
        <v>554</v>
      </c>
      <c r="D31" s="675">
        <v>15</v>
      </c>
      <c r="E31" s="676"/>
      <c r="F31" s="677">
        <f t="shared" si="0"/>
        <v>0</v>
      </c>
      <c r="G31" s="678"/>
      <c r="H31" s="677">
        <f t="shared" si="1"/>
        <v>0</v>
      </c>
      <c r="I31" s="678"/>
      <c r="J31" s="677">
        <f t="shared" si="28"/>
        <v>0</v>
      </c>
      <c r="K31" s="679"/>
      <c r="L31" s="677">
        <f t="shared" si="3"/>
        <v>0</v>
      </c>
      <c r="M31" s="680"/>
      <c r="N31" s="677">
        <f t="shared" si="4"/>
        <v>0</v>
      </c>
      <c r="O31" s="681"/>
      <c r="P31" s="682">
        <f t="shared" si="5"/>
        <v>0</v>
      </c>
      <c r="Q31" s="680"/>
      <c r="R31" s="677">
        <f t="shared" si="6"/>
        <v>0</v>
      </c>
      <c r="S31" s="680"/>
      <c r="T31" s="677">
        <f t="shared" si="7"/>
        <v>0</v>
      </c>
      <c r="U31" s="680"/>
      <c r="V31" s="677">
        <f t="shared" si="8"/>
        <v>0</v>
      </c>
      <c r="W31" s="680"/>
      <c r="X31" s="677">
        <f t="shared" si="9"/>
        <v>0</v>
      </c>
      <c r="Y31" s="680"/>
      <c r="Z31" s="677">
        <f t="shared" si="10"/>
        <v>0</v>
      </c>
      <c r="AA31" s="683"/>
      <c r="AB31" s="677">
        <f t="shared" si="11"/>
        <v>0</v>
      </c>
      <c r="AC31" s="684"/>
      <c r="AD31" s="685"/>
      <c r="AE31" s="764"/>
      <c r="AF31" s="686"/>
      <c r="AG31" s="687"/>
      <c r="AH31" s="688">
        <f t="shared" si="15"/>
        <v>0</v>
      </c>
      <c r="AI31" s="689"/>
      <c r="AJ31" s="690"/>
      <c r="AK31" s="691"/>
      <c r="AL31" s="692"/>
      <c r="AM31" s="765"/>
      <c r="AN31" s="694"/>
      <c r="AO31" s="695"/>
    </row>
    <row r="32" spans="1:41" ht="20.25">
      <c r="A32" s="756"/>
      <c r="B32" s="696"/>
      <c r="C32" s="763" t="s">
        <v>263</v>
      </c>
      <c r="D32" s="675">
        <v>15</v>
      </c>
      <c r="E32" s="676"/>
      <c r="F32" s="677">
        <f t="shared" si="0"/>
        <v>0</v>
      </c>
      <c r="G32" s="678"/>
      <c r="H32" s="677">
        <f t="shared" si="1"/>
        <v>0</v>
      </c>
      <c r="I32" s="678"/>
      <c r="J32" s="677">
        <f t="shared" si="28"/>
        <v>0</v>
      </c>
      <c r="K32" s="679"/>
      <c r="L32" s="677">
        <f t="shared" si="3"/>
        <v>0</v>
      </c>
      <c r="M32" s="680"/>
      <c r="N32" s="677">
        <f t="shared" si="4"/>
        <v>0</v>
      </c>
      <c r="O32" s="681"/>
      <c r="P32" s="682">
        <f t="shared" si="5"/>
        <v>0</v>
      </c>
      <c r="Q32" s="680"/>
      <c r="R32" s="677">
        <f t="shared" si="6"/>
        <v>0</v>
      </c>
      <c r="S32" s="680"/>
      <c r="T32" s="677">
        <f t="shared" si="7"/>
        <v>0</v>
      </c>
      <c r="U32" s="680"/>
      <c r="V32" s="677">
        <f t="shared" si="8"/>
        <v>0</v>
      </c>
      <c r="W32" s="680"/>
      <c r="X32" s="677">
        <f t="shared" si="9"/>
        <v>0</v>
      </c>
      <c r="Y32" s="680"/>
      <c r="Z32" s="677">
        <f t="shared" si="10"/>
        <v>0</v>
      </c>
      <c r="AA32" s="683"/>
      <c r="AB32" s="677">
        <f t="shared" si="11"/>
        <v>0</v>
      </c>
      <c r="AC32" s="684"/>
      <c r="AD32" s="685"/>
      <c r="AE32" s="764"/>
      <c r="AF32" s="686"/>
      <c r="AG32" s="687"/>
      <c r="AH32" s="688">
        <f t="shared" si="15"/>
        <v>0</v>
      </c>
      <c r="AI32" s="689"/>
      <c r="AJ32" s="690"/>
      <c r="AK32" s="691"/>
      <c r="AL32" s="692"/>
      <c r="AM32" s="765"/>
      <c r="AN32" s="694"/>
      <c r="AO32" s="695"/>
    </row>
    <row r="33" spans="1:41" ht="21">
      <c r="A33" s="756"/>
      <c r="B33" s="696"/>
      <c r="C33" s="700" t="s">
        <v>555</v>
      </c>
      <c r="D33" s="698">
        <v>3</v>
      </c>
      <c r="E33" s="699"/>
      <c r="F33" s="700">
        <f t="shared" si="0"/>
        <v>0</v>
      </c>
      <c r="G33" s="701"/>
      <c r="H33" s="700">
        <f t="shared" si="1"/>
        <v>0</v>
      </c>
      <c r="I33" s="701"/>
      <c r="J33" s="700">
        <f t="shared" si="28"/>
        <v>0</v>
      </c>
      <c r="K33" s="702"/>
      <c r="L33" s="700">
        <f t="shared" si="3"/>
        <v>0</v>
      </c>
      <c r="M33" s="703"/>
      <c r="N33" s="700">
        <f t="shared" si="4"/>
        <v>0</v>
      </c>
      <c r="O33" s="704"/>
      <c r="P33" s="705">
        <f t="shared" si="5"/>
        <v>0</v>
      </c>
      <c r="Q33" s="703"/>
      <c r="R33" s="700">
        <f t="shared" si="6"/>
        <v>0</v>
      </c>
      <c r="S33" s="703"/>
      <c r="T33" s="700">
        <f t="shared" si="7"/>
        <v>0</v>
      </c>
      <c r="U33" s="703"/>
      <c r="V33" s="700">
        <f t="shared" si="8"/>
        <v>0</v>
      </c>
      <c r="W33" s="703"/>
      <c r="X33" s="700">
        <f t="shared" si="9"/>
        <v>0</v>
      </c>
      <c r="Y33" s="703"/>
      <c r="Z33" s="700">
        <f t="shared" si="10"/>
        <v>0</v>
      </c>
      <c r="AA33" s="706"/>
      <c r="AB33" s="700">
        <f t="shared" si="11"/>
        <v>0</v>
      </c>
      <c r="AC33" s="707">
        <f>'Commande Souvenirs, librairie'!E36</f>
        <v>1.5</v>
      </c>
      <c r="AD33" s="708">
        <f aca="true" t="shared" si="29" ref="AD33:AD57">(AC33*20)/100+AC33</f>
        <v>1.8</v>
      </c>
      <c r="AE33" s="766"/>
      <c r="AF33" s="709">
        <f aca="true" t="shared" si="30" ref="AF33:AF60">D33-AD33</f>
        <v>1.2</v>
      </c>
      <c r="AG33" s="710">
        <f aca="true" t="shared" si="31" ref="AG33:AG60">AF33*AI33</f>
        <v>0</v>
      </c>
      <c r="AH33" s="711">
        <f t="shared" si="15"/>
        <v>0</v>
      </c>
      <c r="AI33" s="712">
        <f aca="true" t="shared" si="32" ref="AI33:AI67">AA33+Y33+W33+U33+S33+Q33+O33+M33+K33+I33+G33+E33</f>
        <v>0</v>
      </c>
      <c r="AJ33" s="713">
        <v>5</v>
      </c>
      <c r="AK33" s="767"/>
      <c r="AL33" s="715"/>
      <c r="AM33" s="768"/>
      <c r="AN33" s="717"/>
      <c r="AO33" s="718"/>
    </row>
    <row r="34" spans="1:41" ht="20.25" customHeight="1">
      <c r="A34" s="769"/>
      <c r="B34" s="770" t="s">
        <v>556</v>
      </c>
      <c r="C34" s="771" t="s">
        <v>432</v>
      </c>
      <c r="D34" s="652">
        <v>1</v>
      </c>
      <c r="E34" s="653"/>
      <c r="F34" s="654">
        <f t="shared" si="0"/>
        <v>0</v>
      </c>
      <c r="G34" s="655"/>
      <c r="H34" s="654">
        <f t="shared" si="1"/>
        <v>0</v>
      </c>
      <c r="I34" s="655"/>
      <c r="J34" s="654">
        <f t="shared" si="28"/>
        <v>0</v>
      </c>
      <c r="K34" s="656"/>
      <c r="L34" s="654">
        <f t="shared" si="3"/>
        <v>0</v>
      </c>
      <c r="M34" s="68"/>
      <c r="N34" s="654">
        <f t="shared" si="4"/>
        <v>0</v>
      </c>
      <c r="O34" s="657"/>
      <c r="P34" s="658">
        <f t="shared" si="5"/>
        <v>0</v>
      </c>
      <c r="Q34" s="68"/>
      <c r="R34" s="654">
        <f t="shared" si="6"/>
        <v>0</v>
      </c>
      <c r="S34" s="68"/>
      <c r="T34" s="654">
        <f t="shared" si="7"/>
        <v>0</v>
      </c>
      <c r="U34" s="68"/>
      <c r="V34" s="654">
        <f t="shared" si="8"/>
        <v>0</v>
      </c>
      <c r="W34" s="68"/>
      <c r="X34" s="654">
        <f t="shared" si="9"/>
        <v>0</v>
      </c>
      <c r="Y34" s="68"/>
      <c r="Z34" s="654">
        <f t="shared" si="10"/>
        <v>0</v>
      </c>
      <c r="AA34" s="659"/>
      <c r="AB34" s="654">
        <f t="shared" si="11"/>
        <v>0</v>
      </c>
      <c r="AC34" s="660">
        <f>'Commande Souvenirs, librairie'!E204</f>
        <v>0.11</v>
      </c>
      <c r="AD34" s="661">
        <f t="shared" si="29"/>
        <v>0.132</v>
      </c>
      <c r="AE34" s="766"/>
      <c r="AF34" s="662">
        <f t="shared" si="30"/>
        <v>0.868</v>
      </c>
      <c r="AG34" s="663">
        <f t="shared" si="31"/>
        <v>0</v>
      </c>
      <c r="AH34" s="664">
        <f t="shared" si="15"/>
        <v>0</v>
      </c>
      <c r="AI34" s="665">
        <f t="shared" si="32"/>
        <v>0</v>
      </c>
      <c r="AJ34" s="666">
        <v>3</v>
      </c>
      <c r="AK34" s="667"/>
      <c r="AL34" s="668"/>
      <c r="AM34" s="669"/>
      <c r="AN34" s="670"/>
      <c r="AO34" s="671"/>
    </row>
    <row r="35" spans="1:41" ht="20.25">
      <c r="A35" s="769"/>
      <c r="B35" s="770"/>
      <c r="C35" s="771" t="s">
        <v>433</v>
      </c>
      <c r="D35" s="652">
        <v>1</v>
      </c>
      <c r="E35" s="653"/>
      <c r="F35" s="654">
        <f t="shared" si="0"/>
        <v>0</v>
      </c>
      <c r="G35" s="655"/>
      <c r="H35" s="654">
        <f t="shared" si="1"/>
        <v>0</v>
      </c>
      <c r="I35" s="655"/>
      <c r="J35" s="654">
        <f t="shared" si="28"/>
        <v>0</v>
      </c>
      <c r="K35" s="656"/>
      <c r="L35" s="654">
        <f t="shared" si="3"/>
        <v>0</v>
      </c>
      <c r="M35" s="68"/>
      <c r="N35" s="654">
        <f t="shared" si="4"/>
        <v>0</v>
      </c>
      <c r="O35" s="657"/>
      <c r="P35" s="658">
        <f t="shared" si="5"/>
        <v>0</v>
      </c>
      <c r="Q35" s="68"/>
      <c r="R35" s="654">
        <f t="shared" si="6"/>
        <v>0</v>
      </c>
      <c r="S35" s="68"/>
      <c r="T35" s="654">
        <f t="shared" si="7"/>
        <v>0</v>
      </c>
      <c r="U35" s="68"/>
      <c r="V35" s="654">
        <f t="shared" si="8"/>
        <v>0</v>
      </c>
      <c r="W35" s="68"/>
      <c r="X35" s="654">
        <f t="shared" si="9"/>
        <v>0</v>
      </c>
      <c r="Y35" s="68"/>
      <c r="Z35" s="654">
        <f t="shared" si="10"/>
        <v>0</v>
      </c>
      <c r="AA35" s="659"/>
      <c r="AB35" s="654">
        <f t="shared" si="11"/>
        <v>0</v>
      </c>
      <c r="AC35" s="660">
        <f>'Commande Souvenirs, librairie'!E205</f>
        <v>0.11</v>
      </c>
      <c r="AD35" s="661">
        <f t="shared" si="29"/>
        <v>0.132</v>
      </c>
      <c r="AE35" s="766"/>
      <c r="AF35" s="662">
        <f t="shared" si="30"/>
        <v>0.868</v>
      </c>
      <c r="AG35" s="663">
        <f t="shared" si="31"/>
        <v>0</v>
      </c>
      <c r="AH35" s="664">
        <f t="shared" si="15"/>
        <v>0</v>
      </c>
      <c r="AI35" s="665">
        <f t="shared" si="32"/>
        <v>0</v>
      </c>
      <c r="AJ35" s="666">
        <v>15</v>
      </c>
      <c r="AK35" s="667"/>
      <c r="AL35" s="668"/>
      <c r="AM35" s="669"/>
      <c r="AN35" s="670"/>
      <c r="AO35" s="671"/>
    </row>
    <row r="36" spans="1:41" ht="20.25">
      <c r="A36" s="769"/>
      <c r="B36" s="770"/>
      <c r="C36" s="771" t="s">
        <v>434</v>
      </c>
      <c r="D36" s="652">
        <v>1</v>
      </c>
      <c r="E36" s="653"/>
      <c r="F36" s="654">
        <f t="shared" si="0"/>
        <v>0</v>
      </c>
      <c r="G36" s="655"/>
      <c r="H36" s="654">
        <f t="shared" si="1"/>
        <v>0</v>
      </c>
      <c r="I36" s="655"/>
      <c r="J36" s="654">
        <f t="shared" si="28"/>
        <v>0</v>
      </c>
      <c r="K36" s="656"/>
      <c r="L36" s="654">
        <f t="shared" si="3"/>
        <v>0</v>
      </c>
      <c r="M36" s="68"/>
      <c r="N36" s="654">
        <f t="shared" si="4"/>
        <v>0</v>
      </c>
      <c r="O36" s="657"/>
      <c r="P36" s="658">
        <f t="shared" si="5"/>
        <v>0</v>
      </c>
      <c r="Q36" s="68"/>
      <c r="R36" s="654">
        <f t="shared" si="6"/>
        <v>0</v>
      </c>
      <c r="S36" s="68"/>
      <c r="T36" s="654">
        <f t="shared" si="7"/>
        <v>0</v>
      </c>
      <c r="U36" s="68"/>
      <c r="V36" s="654">
        <f t="shared" si="8"/>
        <v>0</v>
      </c>
      <c r="W36" s="68"/>
      <c r="X36" s="654">
        <f t="shared" si="9"/>
        <v>0</v>
      </c>
      <c r="Y36" s="68"/>
      <c r="Z36" s="654">
        <f t="shared" si="10"/>
        <v>0</v>
      </c>
      <c r="AA36" s="659"/>
      <c r="AB36" s="654">
        <f t="shared" si="11"/>
        <v>0</v>
      </c>
      <c r="AC36" s="660">
        <f>'Commande Souvenirs, librairie'!E206</f>
        <v>0.11</v>
      </c>
      <c r="AD36" s="661">
        <f t="shared" si="29"/>
        <v>0.132</v>
      </c>
      <c r="AE36" s="766"/>
      <c r="AF36" s="662">
        <f t="shared" si="30"/>
        <v>0.868</v>
      </c>
      <c r="AG36" s="663">
        <f t="shared" si="31"/>
        <v>0</v>
      </c>
      <c r="AH36" s="664">
        <f t="shared" si="15"/>
        <v>0</v>
      </c>
      <c r="AI36" s="665">
        <f t="shared" si="32"/>
        <v>0</v>
      </c>
      <c r="AJ36" s="666">
        <v>19</v>
      </c>
      <c r="AK36" s="667"/>
      <c r="AL36" s="668"/>
      <c r="AM36" s="669"/>
      <c r="AN36" s="670"/>
      <c r="AO36" s="671"/>
    </row>
    <row r="37" spans="1:41" ht="20.25">
      <c r="A37" s="769"/>
      <c r="B37" s="770"/>
      <c r="C37" s="771" t="s">
        <v>153</v>
      </c>
      <c r="D37" s="652">
        <v>1</v>
      </c>
      <c r="E37" s="772"/>
      <c r="F37" s="654">
        <f t="shared" si="0"/>
        <v>0</v>
      </c>
      <c r="G37" s="761"/>
      <c r="H37" s="654">
        <f t="shared" si="1"/>
        <v>0</v>
      </c>
      <c r="I37" s="761"/>
      <c r="J37" s="654">
        <f t="shared" si="28"/>
        <v>0</v>
      </c>
      <c r="K37" s="773"/>
      <c r="L37" s="654">
        <f t="shared" si="3"/>
        <v>0</v>
      </c>
      <c r="M37" s="68"/>
      <c r="N37" s="654">
        <f t="shared" si="4"/>
        <v>0</v>
      </c>
      <c r="O37" s="657"/>
      <c r="P37" s="658">
        <f t="shared" si="5"/>
        <v>0</v>
      </c>
      <c r="Q37" s="68"/>
      <c r="R37" s="654">
        <f t="shared" si="6"/>
        <v>0</v>
      </c>
      <c r="S37" s="68"/>
      <c r="T37" s="654">
        <f t="shared" si="7"/>
        <v>0</v>
      </c>
      <c r="U37" s="68"/>
      <c r="V37" s="654">
        <f t="shared" si="8"/>
        <v>0</v>
      </c>
      <c r="W37" s="68"/>
      <c r="X37" s="654">
        <f t="shared" si="9"/>
        <v>0</v>
      </c>
      <c r="Y37" s="68"/>
      <c r="Z37" s="654">
        <f t="shared" si="10"/>
        <v>0</v>
      </c>
      <c r="AA37" s="659"/>
      <c r="AB37" s="654">
        <f t="shared" si="11"/>
        <v>0</v>
      </c>
      <c r="AC37" s="660">
        <f>'Commande Souvenirs, librairie'!E207</f>
        <v>0.11</v>
      </c>
      <c r="AD37" s="661">
        <f t="shared" si="29"/>
        <v>0.132</v>
      </c>
      <c r="AE37" s="766"/>
      <c r="AF37" s="662">
        <f t="shared" si="30"/>
        <v>0.868</v>
      </c>
      <c r="AG37" s="663">
        <f t="shared" si="31"/>
        <v>0</v>
      </c>
      <c r="AH37" s="664">
        <f t="shared" si="15"/>
        <v>0</v>
      </c>
      <c r="AI37" s="665">
        <f t="shared" si="32"/>
        <v>0</v>
      </c>
      <c r="AJ37" s="666">
        <v>15</v>
      </c>
      <c r="AK37" s="667"/>
      <c r="AL37" s="668"/>
      <c r="AM37" s="669"/>
      <c r="AN37" s="670"/>
      <c r="AO37" s="671"/>
    </row>
    <row r="38" spans="1:41" ht="20.25">
      <c r="A38" s="769"/>
      <c r="B38" s="770"/>
      <c r="C38" s="771" t="s">
        <v>435</v>
      </c>
      <c r="D38" s="652">
        <v>1</v>
      </c>
      <c r="E38" s="653"/>
      <c r="F38" s="654">
        <f t="shared" si="0"/>
        <v>0</v>
      </c>
      <c r="G38" s="655"/>
      <c r="H38" s="654">
        <f t="shared" si="1"/>
        <v>0</v>
      </c>
      <c r="I38" s="655"/>
      <c r="J38" s="654">
        <f t="shared" si="28"/>
        <v>0</v>
      </c>
      <c r="K38" s="656"/>
      <c r="L38" s="654">
        <f t="shared" si="3"/>
        <v>0</v>
      </c>
      <c r="M38" s="68"/>
      <c r="N38" s="654">
        <f t="shared" si="4"/>
        <v>0</v>
      </c>
      <c r="O38" s="657"/>
      <c r="P38" s="658">
        <f t="shared" si="5"/>
        <v>0</v>
      </c>
      <c r="Q38" s="68"/>
      <c r="R38" s="654">
        <f t="shared" si="6"/>
        <v>0</v>
      </c>
      <c r="S38" s="68"/>
      <c r="T38" s="654">
        <f t="shared" si="7"/>
        <v>0</v>
      </c>
      <c r="U38" s="68"/>
      <c r="V38" s="654">
        <f t="shared" si="8"/>
        <v>0</v>
      </c>
      <c r="W38" s="68"/>
      <c r="X38" s="654">
        <f t="shared" si="9"/>
        <v>0</v>
      </c>
      <c r="Y38" s="68"/>
      <c r="Z38" s="654">
        <f t="shared" si="10"/>
        <v>0</v>
      </c>
      <c r="AA38" s="659"/>
      <c r="AB38" s="654">
        <f t="shared" si="11"/>
        <v>0</v>
      </c>
      <c r="AC38" s="660">
        <f>'Commande Souvenirs, librairie'!E208</f>
        <v>0.11</v>
      </c>
      <c r="AD38" s="661">
        <f t="shared" si="29"/>
        <v>0.132</v>
      </c>
      <c r="AE38" s="766"/>
      <c r="AF38" s="662">
        <f t="shared" si="30"/>
        <v>0.868</v>
      </c>
      <c r="AG38" s="663">
        <f t="shared" si="31"/>
        <v>0</v>
      </c>
      <c r="AH38" s="664">
        <f t="shared" si="15"/>
        <v>0</v>
      </c>
      <c r="AI38" s="665">
        <f t="shared" si="32"/>
        <v>0</v>
      </c>
      <c r="AJ38" s="666">
        <v>8</v>
      </c>
      <c r="AK38" s="667"/>
      <c r="AL38" s="668"/>
      <c r="AM38" s="669"/>
      <c r="AN38" s="670"/>
      <c r="AO38" s="671"/>
    </row>
    <row r="39" spans="1:41" ht="20.25">
      <c r="A39" s="769"/>
      <c r="B39" s="770"/>
      <c r="C39" s="771" t="s">
        <v>436</v>
      </c>
      <c r="D39" s="652">
        <v>1</v>
      </c>
      <c r="E39" s="653"/>
      <c r="F39" s="654">
        <f t="shared" si="0"/>
        <v>0</v>
      </c>
      <c r="G39" s="655"/>
      <c r="H39" s="654">
        <f t="shared" si="1"/>
        <v>0</v>
      </c>
      <c r="I39" s="655"/>
      <c r="J39" s="654">
        <f t="shared" si="28"/>
        <v>0</v>
      </c>
      <c r="K39" s="656"/>
      <c r="L39" s="654">
        <f t="shared" si="3"/>
        <v>0</v>
      </c>
      <c r="M39" s="68"/>
      <c r="N39" s="654">
        <f t="shared" si="4"/>
        <v>0</v>
      </c>
      <c r="O39" s="657"/>
      <c r="P39" s="658">
        <f t="shared" si="5"/>
        <v>0</v>
      </c>
      <c r="Q39" s="68"/>
      <c r="R39" s="654">
        <f t="shared" si="6"/>
        <v>0</v>
      </c>
      <c r="S39" s="68"/>
      <c r="T39" s="654">
        <f t="shared" si="7"/>
        <v>0</v>
      </c>
      <c r="U39" s="68"/>
      <c r="V39" s="654">
        <f t="shared" si="8"/>
        <v>0</v>
      </c>
      <c r="W39" s="68"/>
      <c r="X39" s="654">
        <f t="shared" si="9"/>
        <v>0</v>
      </c>
      <c r="Y39" s="68"/>
      <c r="Z39" s="654">
        <f t="shared" si="10"/>
        <v>0</v>
      </c>
      <c r="AA39" s="659"/>
      <c r="AB39" s="654">
        <f t="shared" si="11"/>
        <v>0</v>
      </c>
      <c r="AC39" s="660">
        <f>'Commande Souvenirs, librairie'!E209</f>
        <v>0.11</v>
      </c>
      <c r="AD39" s="661">
        <f t="shared" si="29"/>
        <v>0.132</v>
      </c>
      <c r="AE39" s="766"/>
      <c r="AF39" s="662">
        <f t="shared" si="30"/>
        <v>0.868</v>
      </c>
      <c r="AG39" s="663">
        <f t="shared" si="31"/>
        <v>0</v>
      </c>
      <c r="AH39" s="664">
        <f t="shared" si="15"/>
        <v>0</v>
      </c>
      <c r="AI39" s="665">
        <f t="shared" si="32"/>
        <v>0</v>
      </c>
      <c r="AJ39" s="666">
        <v>0</v>
      </c>
      <c r="AK39" s="667"/>
      <c r="AL39" s="668"/>
      <c r="AM39" s="669"/>
      <c r="AN39" s="670"/>
      <c r="AO39" s="671"/>
    </row>
    <row r="40" spans="1:41" ht="20.25">
      <c r="A40" s="769"/>
      <c r="B40" s="770"/>
      <c r="C40" s="771" t="s">
        <v>437</v>
      </c>
      <c r="D40" s="652">
        <v>1</v>
      </c>
      <c r="E40" s="653"/>
      <c r="F40" s="654">
        <f t="shared" si="0"/>
        <v>0</v>
      </c>
      <c r="G40" s="655"/>
      <c r="H40" s="654">
        <f t="shared" si="1"/>
        <v>0</v>
      </c>
      <c r="I40" s="655"/>
      <c r="J40" s="654">
        <f t="shared" si="28"/>
        <v>0</v>
      </c>
      <c r="K40" s="656"/>
      <c r="L40" s="654">
        <f t="shared" si="3"/>
        <v>0</v>
      </c>
      <c r="M40" s="68"/>
      <c r="N40" s="654">
        <f t="shared" si="4"/>
        <v>0</v>
      </c>
      <c r="O40" s="657">
        <v>1</v>
      </c>
      <c r="P40" s="658">
        <f t="shared" si="5"/>
        <v>1</v>
      </c>
      <c r="Q40" s="68"/>
      <c r="R40" s="654">
        <f t="shared" si="6"/>
        <v>0</v>
      </c>
      <c r="S40" s="68"/>
      <c r="T40" s="654">
        <f t="shared" si="7"/>
        <v>0</v>
      </c>
      <c r="U40" s="68"/>
      <c r="V40" s="654">
        <f t="shared" si="8"/>
        <v>0</v>
      </c>
      <c r="W40" s="68"/>
      <c r="X40" s="654">
        <f t="shared" si="9"/>
        <v>0</v>
      </c>
      <c r="Y40" s="68"/>
      <c r="Z40" s="654">
        <f t="shared" si="10"/>
        <v>0</v>
      </c>
      <c r="AA40" s="659"/>
      <c r="AB40" s="654">
        <f t="shared" si="11"/>
        <v>0</v>
      </c>
      <c r="AC40" s="660">
        <f>'Commande Souvenirs, librairie'!E210</f>
        <v>0.11</v>
      </c>
      <c r="AD40" s="661">
        <f t="shared" si="29"/>
        <v>0.132</v>
      </c>
      <c r="AE40" s="766"/>
      <c r="AF40" s="662">
        <f t="shared" si="30"/>
        <v>0.868</v>
      </c>
      <c r="AG40" s="663">
        <f t="shared" si="31"/>
        <v>0.868</v>
      </c>
      <c r="AH40" s="664">
        <f t="shared" si="15"/>
        <v>1</v>
      </c>
      <c r="AI40" s="665">
        <f t="shared" si="32"/>
        <v>1</v>
      </c>
      <c r="AJ40" s="666">
        <v>6</v>
      </c>
      <c r="AK40" s="667"/>
      <c r="AL40" s="668"/>
      <c r="AM40" s="669"/>
      <c r="AN40" s="670"/>
      <c r="AO40" s="671"/>
    </row>
    <row r="41" spans="1:41" ht="20.25">
      <c r="A41" s="769"/>
      <c r="B41" s="770"/>
      <c r="C41" s="771" t="s">
        <v>438</v>
      </c>
      <c r="D41" s="652">
        <v>1</v>
      </c>
      <c r="E41" s="653"/>
      <c r="F41" s="654">
        <f t="shared" si="0"/>
        <v>0</v>
      </c>
      <c r="G41" s="761">
        <v>1</v>
      </c>
      <c r="H41" s="654">
        <f t="shared" si="1"/>
        <v>1</v>
      </c>
      <c r="I41" s="655"/>
      <c r="J41" s="654">
        <f t="shared" si="28"/>
        <v>0</v>
      </c>
      <c r="K41" s="656"/>
      <c r="L41" s="654">
        <f t="shared" si="3"/>
        <v>0</v>
      </c>
      <c r="M41" s="68"/>
      <c r="N41" s="654">
        <f t="shared" si="4"/>
        <v>0</v>
      </c>
      <c r="O41" s="657"/>
      <c r="P41" s="658">
        <f t="shared" si="5"/>
        <v>0</v>
      </c>
      <c r="Q41" s="68"/>
      <c r="R41" s="654">
        <f t="shared" si="6"/>
        <v>0</v>
      </c>
      <c r="S41" s="68"/>
      <c r="T41" s="654">
        <f t="shared" si="7"/>
        <v>0</v>
      </c>
      <c r="U41" s="68"/>
      <c r="V41" s="654">
        <f t="shared" si="8"/>
        <v>0</v>
      </c>
      <c r="W41" s="68"/>
      <c r="X41" s="654">
        <f t="shared" si="9"/>
        <v>0</v>
      </c>
      <c r="Y41" s="68"/>
      <c r="Z41" s="654">
        <f t="shared" si="10"/>
        <v>0</v>
      </c>
      <c r="AA41" s="659"/>
      <c r="AB41" s="654">
        <f t="shared" si="11"/>
        <v>0</v>
      </c>
      <c r="AC41" s="660">
        <f>'Commande Souvenirs, librairie'!E211</f>
        <v>0.11</v>
      </c>
      <c r="AD41" s="661">
        <f t="shared" si="29"/>
        <v>0.132</v>
      </c>
      <c r="AE41" s="766"/>
      <c r="AF41" s="662">
        <f t="shared" si="30"/>
        <v>0.868</v>
      </c>
      <c r="AG41" s="663">
        <f t="shared" si="31"/>
        <v>0.868</v>
      </c>
      <c r="AH41" s="664">
        <f t="shared" si="15"/>
        <v>1</v>
      </c>
      <c r="AI41" s="665">
        <f t="shared" si="32"/>
        <v>1</v>
      </c>
      <c r="AJ41" s="666">
        <v>9</v>
      </c>
      <c r="AK41" s="667"/>
      <c r="AL41" s="668"/>
      <c r="AM41" s="669"/>
      <c r="AN41" s="670"/>
      <c r="AO41" s="671"/>
    </row>
    <row r="42" spans="1:41" ht="20.25">
      <c r="A42" s="769"/>
      <c r="B42" s="770"/>
      <c r="C42" s="771" t="s">
        <v>439</v>
      </c>
      <c r="D42" s="652">
        <v>1</v>
      </c>
      <c r="E42" s="653"/>
      <c r="F42" s="654">
        <f t="shared" si="0"/>
        <v>0</v>
      </c>
      <c r="G42" s="655"/>
      <c r="H42" s="654">
        <f t="shared" si="1"/>
        <v>0</v>
      </c>
      <c r="I42" s="655"/>
      <c r="J42" s="654">
        <f t="shared" si="28"/>
        <v>0</v>
      </c>
      <c r="K42" s="656"/>
      <c r="L42" s="654">
        <f t="shared" si="3"/>
        <v>0</v>
      </c>
      <c r="M42" s="68"/>
      <c r="N42" s="654">
        <f t="shared" si="4"/>
        <v>0</v>
      </c>
      <c r="O42" s="657"/>
      <c r="P42" s="658">
        <f t="shared" si="5"/>
        <v>0</v>
      </c>
      <c r="Q42" s="68"/>
      <c r="R42" s="654">
        <f t="shared" si="6"/>
        <v>0</v>
      </c>
      <c r="S42" s="68"/>
      <c r="T42" s="654">
        <f t="shared" si="7"/>
        <v>0</v>
      </c>
      <c r="U42" s="68"/>
      <c r="V42" s="654">
        <f t="shared" si="8"/>
        <v>0</v>
      </c>
      <c r="W42" s="68"/>
      <c r="X42" s="654">
        <f t="shared" si="9"/>
        <v>0</v>
      </c>
      <c r="Y42" s="68"/>
      <c r="Z42" s="654">
        <f t="shared" si="10"/>
        <v>0</v>
      </c>
      <c r="AA42" s="659"/>
      <c r="AB42" s="654">
        <f t="shared" si="11"/>
        <v>0</v>
      </c>
      <c r="AC42" s="660">
        <f>'Commande Souvenirs, librairie'!E212</f>
        <v>0.11</v>
      </c>
      <c r="AD42" s="661">
        <f t="shared" si="29"/>
        <v>0.132</v>
      </c>
      <c r="AE42" s="766"/>
      <c r="AF42" s="662">
        <f t="shared" si="30"/>
        <v>0.868</v>
      </c>
      <c r="AG42" s="663">
        <f t="shared" si="31"/>
        <v>0</v>
      </c>
      <c r="AH42" s="664">
        <f t="shared" si="15"/>
        <v>0</v>
      </c>
      <c r="AI42" s="665">
        <f t="shared" si="32"/>
        <v>0</v>
      </c>
      <c r="AJ42" s="666">
        <v>10</v>
      </c>
      <c r="AK42" s="667"/>
      <c r="AL42" s="668"/>
      <c r="AM42" s="669"/>
      <c r="AN42" s="670"/>
      <c r="AO42" s="671"/>
    </row>
    <row r="43" spans="1:41" ht="20.25">
      <c r="A43" s="769"/>
      <c r="B43" s="770"/>
      <c r="C43" s="771" t="s">
        <v>556</v>
      </c>
      <c r="D43" s="652">
        <v>1</v>
      </c>
      <c r="E43" s="653"/>
      <c r="F43" s="654">
        <f t="shared" si="0"/>
        <v>0</v>
      </c>
      <c r="G43" s="655"/>
      <c r="H43" s="654">
        <f t="shared" si="1"/>
        <v>0</v>
      </c>
      <c r="I43" s="655"/>
      <c r="J43" s="654">
        <f t="shared" si="28"/>
        <v>0</v>
      </c>
      <c r="K43" s="656"/>
      <c r="L43" s="654">
        <f t="shared" si="3"/>
        <v>0</v>
      </c>
      <c r="M43" s="68"/>
      <c r="N43" s="654">
        <f t="shared" si="4"/>
        <v>0</v>
      </c>
      <c r="O43" s="657">
        <v>1</v>
      </c>
      <c r="P43" s="658">
        <f t="shared" si="5"/>
        <v>1</v>
      </c>
      <c r="Q43" s="68"/>
      <c r="R43" s="654">
        <f t="shared" si="6"/>
        <v>0</v>
      </c>
      <c r="S43" s="68"/>
      <c r="T43" s="654">
        <f t="shared" si="7"/>
        <v>0</v>
      </c>
      <c r="U43" s="68"/>
      <c r="V43" s="654">
        <f t="shared" si="8"/>
        <v>0</v>
      </c>
      <c r="W43" s="68"/>
      <c r="X43" s="654">
        <f t="shared" si="9"/>
        <v>0</v>
      </c>
      <c r="Y43" s="68"/>
      <c r="Z43" s="654">
        <f t="shared" si="10"/>
        <v>0</v>
      </c>
      <c r="AA43" s="659"/>
      <c r="AB43" s="654">
        <f t="shared" si="11"/>
        <v>0</v>
      </c>
      <c r="AC43" s="660" t="e">
        <f>'Commande Souvenirs, librairie'!#REF!</f>
        <v>#REF!</v>
      </c>
      <c r="AD43" s="661" t="e">
        <f t="shared" si="29"/>
        <v>#REF!</v>
      </c>
      <c r="AE43" s="766"/>
      <c r="AF43" s="662" t="e">
        <f t="shared" si="30"/>
        <v>#REF!</v>
      </c>
      <c r="AG43" s="663" t="e">
        <f t="shared" si="31"/>
        <v>#REF!</v>
      </c>
      <c r="AH43" s="664">
        <f t="shared" si="15"/>
        <v>1</v>
      </c>
      <c r="AI43" s="665">
        <f t="shared" si="32"/>
        <v>1</v>
      </c>
      <c r="AJ43" s="666">
        <v>8</v>
      </c>
      <c r="AK43" s="667"/>
      <c r="AL43" s="668"/>
      <c r="AM43" s="669"/>
      <c r="AN43" s="670"/>
      <c r="AO43" s="671"/>
    </row>
    <row r="44" spans="1:41" ht="21">
      <c r="A44" s="769"/>
      <c r="B44" s="770"/>
      <c r="C44" s="774" t="s">
        <v>557</v>
      </c>
      <c r="D44" s="698">
        <v>0</v>
      </c>
      <c r="E44" s="699"/>
      <c r="F44" s="700">
        <f t="shared" si="0"/>
        <v>0</v>
      </c>
      <c r="G44" s="701"/>
      <c r="H44" s="700">
        <f t="shared" si="1"/>
        <v>0</v>
      </c>
      <c r="I44" s="701"/>
      <c r="J44" s="700">
        <f t="shared" si="28"/>
        <v>0</v>
      </c>
      <c r="K44" s="702"/>
      <c r="L44" s="700">
        <f t="shared" si="3"/>
        <v>0</v>
      </c>
      <c r="M44" s="703"/>
      <c r="N44" s="700">
        <f t="shared" si="4"/>
        <v>0</v>
      </c>
      <c r="O44" s="704"/>
      <c r="P44" s="705">
        <f t="shared" si="5"/>
        <v>0</v>
      </c>
      <c r="Q44" s="703"/>
      <c r="R44" s="700">
        <f t="shared" si="6"/>
        <v>0</v>
      </c>
      <c r="S44" s="703"/>
      <c r="T44" s="700">
        <f t="shared" si="7"/>
        <v>0</v>
      </c>
      <c r="U44" s="703"/>
      <c r="V44" s="700">
        <f t="shared" si="8"/>
        <v>0</v>
      </c>
      <c r="W44" s="703"/>
      <c r="X44" s="700">
        <f t="shared" si="9"/>
        <v>0</v>
      </c>
      <c r="Y44" s="703"/>
      <c r="Z44" s="700">
        <f t="shared" si="10"/>
        <v>0</v>
      </c>
      <c r="AA44" s="706"/>
      <c r="AB44" s="700">
        <f t="shared" si="11"/>
        <v>0</v>
      </c>
      <c r="AC44" s="707"/>
      <c r="AD44" s="708">
        <f t="shared" si="29"/>
        <v>0</v>
      </c>
      <c r="AE44" s="766"/>
      <c r="AF44" s="709">
        <f t="shared" si="30"/>
        <v>0</v>
      </c>
      <c r="AG44" s="710">
        <f t="shared" si="31"/>
        <v>0</v>
      </c>
      <c r="AH44" s="711">
        <f t="shared" si="15"/>
        <v>0</v>
      </c>
      <c r="AI44" s="712">
        <f t="shared" si="32"/>
        <v>0</v>
      </c>
      <c r="AJ44" s="713"/>
      <c r="AK44" s="767"/>
      <c r="AL44" s="715"/>
      <c r="AM44" s="768"/>
      <c r="AN44" s="717"/>
      <c r="AO44" s="718"/>
    </row>
    <row r="45" spans="1:41" ht="21.75">
      <c r="A45" s="775"/>
      <c r="B45" s="776" t="s">
        <v>558</v>
      </c>
      <c r="C45" s="777" t="s">
        <v>559</v>
      </c>
      <c r="D45" s="698">
        <v>25</v>
      </c>
      <c r="E45" s="699"/>
      <c r="F45" s="700">
        <f t="shared" si="0"/>
        <v>0</v>
      </c>
      <c r="G45" s="778">
        <v>1</v>
      </c>
      <c r="H45" s="700">
        <f t="shared" si="1"/>
        <v>25</v>
      </c>
      <c r="I45" s="778"/>
      <c r="J45" s="700">
        <f t="shared" si="28"/>
        <v>0</v>
      </c>
      <c r="K45" s="702">
        <v>1</v>
      </c>
      <c r="L45" s="700">
        <f t="shared" si="3"/>
        <v>25</v>
      </c>
      <c r="M45" s="703"/>
      <c r="N45" s="700">
        <f t="shared" si="4"/>
        <v>0</v>
      </c>
      <c r="O45" s="704"/>
      <c r="P45" s="705">
        <f t="shared" si="5"/>
        <v>0</v>
      </c>
      <c r="Q45" s="703"/>
      <c r="R45" s="700">
        <f t="shared" si="6"/>
        <v>0</v>
      </c>
      <c r="S45" s="703"/>
      <c r="T45" s="700">
        <f t="shared" si="7"/>
        <v>0</v>
      </c>
      <c r="U45" s="703"/>
      <c r="V45" s="700">
        <f t="shared" si="8"/>
        <v>0</v>
      </c>
      <c r="W45" s="703"/>
      <c r="X45" s="700">
        <f t="shared" si="9"/>
        <v>0</v>
      </c>
      <c r="Y45" s="703"/>
      <c r="Z45" s="700">
        <f t="shared" si="10"/>
        <v>0</v>
      </c>
      <c r="AA45" s="706"/>
      <c r="AB45" s="700">
        <f t="shared" si="11"/>
        <v>0</v>
      </c>
      <c r="AC45" s="779" t="e">
        <f>'Commande Souvenirs, librairie'!#REF!</f>
        <v>#REF!</v>
      </c>
      <c r="AD45" s="780" t="e">
        <f t="shared" si="29"/>
        <v>#REF!</v>
      </c>
      <c r="AE45" s="781"/>
      <c r="AF45" s="782" t="e">
        <f t="shared" si="30"/>
        <v>#REF!</v>
      </c>
      <c r="AG45" s="783" t="e">
        <f t="shared" si="31"/>
        <v>#REF!</v>
      </c>
      <c r="AH45" s="784">
        <f t="shared" si="15"/>
        <v>50</v>
      </c>
      <c r="AI45" s="785">
        <f t="shared" si="32"/>
        <v>2</v>
      </c>
      <c r="AJ45" s="786">
        <v>5</v>
      </c>
      <c r="AK45" s="787"/>
      <c r="AL45" s="788"/>
      <c r="AM45" s="739"/>
      <c r="AN45" s="740"/>
      <c r="AO45" s="789"/>
    </row>
    <row r="46" spans="1:41" ht="21" customHeight="1">
      <c r="A46" s="790" t="s">
        <v>560</v>
      </c>
      <c r="B46" s="791" t="s">
        <v>561</v>
      </c>
      <c r="C46" s="792" t="s">
        <v>179</v>
      </c>
      <c r="D46" s="722">
        <v>2</v>
      </c>
      <c r="E46" s="793">
        <v>1</v>
      </c>
      <c r="F46" s="724">
        <f t="shared" si="0"/>
        <v>2</v>
      </c>
      <c r="G46" s="794">
        <v>2</v>
      </c>
      <c r="H46" s="724">
        <f t="shared" si="1"/>
        <v>4</v>
      </c>
      <c r="I46" s="795">
        <v>4</v>
      </c>
      <c r="J46" s="724">
        <f t="shared" si="28"/>
        <v>8</v>
      </c>
      <c r="K46" s="726">
        <v>1</v>
      </c>
      <c r="L46" s="724">
        <f t="shared" si="3"/>
        <v>2</v>
      </c>
      <c r="M46" s="49">
        <v>2</v>
      </c>
      <c r="N46" s="724">
        <f t="shared" si="4"/>
        <v>4</v>
      </c>
      <c r="O46" s="727">
        <v>1</v>
      </c>
      <c r="P46" s="728">
        <f t="shared" si="5"/>
        <v>2</v>
      </c>
      <c r="Q46" s="49"/>
      <c r="R46" s="724">
        <f t="shared" si="6"/>
        <v>0</v>
      </c>
      <c r="S46" s="49"/>
      <c r="T46" s="724">
        <f t="shared" si="7"/>
        <v>0</v>
      </c>
      <c r="U46" s="49"/>
      <c r="V46" s="724">
        <f t="shared" si="8"/>
        <v>0</v>
      </c>
      <c r="W46" s="49"/>
      <c r="X46" s="724">
        <f t="shared" si="9"/>
        <v>0</v>
      </c>
      <c r="Y46" s="49"/>
      <c r="Z46" s="724">
        <f t="shared" si="10"/>
        <v>0</v>
      </c>
      <c r="AA46" s="729"/>
      <c r="AB46" s="724">
        <f t="shared" si="11"/>
        <v>0</v>
      </c>
      <c r="AC46" s="730">
        <f>'Commande Souvenirs, librairie'!E8</f>
        <v>1.182</v>
      </c>
      <c r="AD46" s="796">
        <f t="shared" si="29"/>
        <v>1.4183999999999999</v>
      </c>
      <c r="AE46" s="797">
        <v>0.2</v>
      </c>
      <c r="AF46" s="732">
        <f t="shared" si="30"/>
        <v>0.5816000000000001</v>
      </c>
      <c r="AG46" s="783">
        <f t="shared" si="31"/>
        <v>6.3976000000000015</v>
      </c>
      <c r="AH46" s="798">
        <f t="shared" si="15"/>
        <v>22</v>
      </c>
      <c r="AI46" s="735">
        <f t="shared" si="32"/>
        <v>11</v>
      </c>
      <c r="AJ46" s="736">
        <v>1</v>
      </c>
      <c r="AK46" s="799"/>
      <c r="AL46" s="738">
        <f aca="true" t="shared" si="33" ref="AL46:AL49">AJ46+AK46</f>
        <v>1</v>
      </c>
      <c r="AM46" s="800">
        <f aca="true" t="shared" si="34" ref="AM46:AM49">AK46-AL46</f>
        <v>-1</v>
      </c>
      <c r="AN46" s="801"/>
      <c r="AO46" s="741"/>
    </row>
    <row r="47" spans="1:41" ht="21.75">
      <c r="A47" s="790"/>
      <c r="B47" s="791"/>
      <c r="C47" s="771" t="s">
        <v>181</v>
      </c>
      <c r="D47" s="652">
        <v>2</v>
      </c>
      <c r="E47" s="659">
        <v>4</v>
      </c>
      <c r="F47" s="654">
        <f t="shared" si="0"/>
        <v>8</v>
      </c>
      <c r="G47" s="761">
        <v>5</v>
      </c>
      <c r="H47" s="654">
        <f t="shared" si="1"/>
        <v>10</v>
      </c>
      <c r="I47" s="68">
        <v>6</v>
      </c>
      <c r="J47" s="654">
        <f t="shared" si="28"/>
        <v>12</v>
      </c>
      <c r="K47" s="802">
        <v>1</v>
      </c>
      <c r="L47" s="654">
        <f t="shared" si="3"/>
        <v>2</v>
      </c>
      <c r="M47" s="68">
        <v>4</v>
      </c>
      <c r="N47" s="654">
        <f t="shared" si="4"/>
        <v>8</v>
      </c>
      <c r="O47" s="657">
        <v>4</v>
      </c>
      <c r="P47" s="658">
        <f t="shared" si="5"/>
        <v>8</v>
      </c>
      <c r="Q47" s="68"/>
      <c r="R47" s="654">
        <f t="shared" si="6"/>
        <v>0</v>
      </c>
      <c r="S47" s="803"/>
      <c r="T47" s="654">
        <f t="shared" si="7"/>
        <v>0</v>
      </c>
      <c r="U47" s="68"/>
      <c r="V47" s="654">
        <f t="shared" si="8"/>
        <v>0</v>
      </c>
      <c r="W47" s="68"/>
      <c r="X47" s="654">
        <f t="shared" si="9"/>
        <v>0</v>
      </c>
      <c r="Y47" s="68"/>
      <c r="Z47" s="654">
        <f t="shared" si="10"/>
        <v>0</v>
      </c>
      <c r="AA47" s="659"/>
      <c r="AB47" s="654">
        <f t="shared" si="11"/>
        <v>0</v>
      </c>
      <c r="AC47" s="660">
        <f>'Commande Souvenirs, librairie'!E9</f>
        <v>1.182</v>
      </c>
      <c r="AD47" s="780">
        <f t="shared" si="29"/>
        <v>1.4183999999999999</v>
      </c>
      <c r="AE47" s="797"/>
      <c r="AF47" s="782">
        <f t="shared" si="30"/>
        <v>0.5816000000000001</v>
      </c>
      <c r="AG47" s="783">
        <f t="shared" si="31"/>
        <v>13.958400000000003</v>
      </c>
      <c r="AH47" s="784">
        <f t="shared" si="15"/>
        <v>48</v>
      </c>
      <c r="AI47" s="804">
        <f t="shared" si="32"/>
        <v>24</v>
      </c>
      <c r="AJ47" s="805">
        <v>21</v>
      </c>
      <c r="AK47" s="667"/>
      <c r="AL47" s="647">
        <f t="shared" si="33"/>
        <v>21</v>
      </c>
      <c r="AM47" s="669">
        <f t="shared" si="34"/>
        <v>-21</v>
      </c>
      <c r="AN47" s="670"/>
      <c r="AO47" s="806"/>
    </row>
    <row r="48" spans="1:41" ht="21.75">
      <c r="A48" s="790"/>
      <c r="B48" s="791"/>
      <c r="C48" s="771" t="s">
        <v>182</v>
      </c>
      <c r="D48" s="652">
        <v>2</v>
      </c>
      <c r="E48" s="772">
        <v>4</v>
      </c>
      <c r="F48" s="654">
        <f t="shared" si="0"/>
        <v>8</v>
      </c>
      <c r="G48" s="761">
        <v>1</v>
      </c>
      <c r="H48" s="654">
        <f t="shared" si="1"/>
        <v>2</v>
      </c>
      <c r="I48" s="761">
        <v>2</v>
      </c>
      <c r="J48" s="654">
        <f t="shared" si="28"/>
        <v>4</v>
      </c>
      <c r="K48" s="773"/>
      <c r="L48" s="654">
        <f t="shared" si="3"/>
        <v>0</v>
      </c>
      <c r="M48" s="68">
        <v>3</v>
      </c>
      <c r="N48" s="654">
        <f t="shared" si="4"/>
        <v>6</v>
      </c>
      <c r="O48" s="657">
        <v>2</v>
      </c>
      <c r="P48" s="658">
        <f t="shared" si="5"/>
        <v>4</v>
      </c>
      <c r="Q48" s="68"/>
      <c r="R48" s="654">
        <f t="shared" si="6"/>
        <v>0</v>
      </c>
      <c r="S48" s="68"/>
      <c r="T48" s="654">
        <f t="shared" si="7"/>
        <v>0</v>
      </c>
      <c r="U48" s="68"/>
      <c r="V48" s="654">
        <f t="shared" si="8"/>
        <v>0</v>
      </c>
      <c r="W48" s="68"/>
      <c r="X48" s="654">
        <f t="shared" si="9"/>
        <v>0</v>
      </c>
      <c r="Y48" s="68"/>
      <c r="Z48" s="654">
        <f t="shared" si="10"/>
        <v>0</v>
      </c>
      <c r="AA48" s="659"/>
      <c r="AB48" s="654">
        <f t="shared" si="11"/>
        <v>0</v>
      </c>
      <c r="AC48" s="660">
        <f>'Commande Souvenirs, librairie'!E10</f>
        <v>1.182</v>
      </c>
      <c r="AD48" s="780">
        <f t="shared" si="29"/>
        <v>1.4183999999999999</v>
      </c>
      <c r="AE48" s="797"/>
      <c r="AF48" s="782">
        <f t="shared" si="30"/>
        <v>0.5816000000000001</v>
      </c>
      <c r="AG48" s="663">
        <f t="shared" si="31"/>
        <v>6.979200000000001</v>
      </c>
      <c r="AH48" s="784">
        <f t="shared" si="15"/>
        <v>24</v>
      </c>
      <c r="AI48" s="804">
        <f t="shared" si="32"/>
        <v>12</v>
      </c>
      <c r="AJ48" s="805">
        <v>5</v>
      </c>
      <c r="AK48" s="667"/>
      <c r="AL48" s="647">
        <f t="shared" si="33"/>
        <v>5</v>
      </c>
      <c r="AM48" s="669">
        <f t="shared" si="34"/>
        <v>-5</v>
      </c>
      <c r="AN48" s="670"/>
      <c r="AO48" s="806"/>
    </row>
    <row r="49" spans="1:41" ht="21.75">
      <c r="A49" s="790"/>
      <c r="B49" s="791"/>
      <c r="C49" s="771" t="s">
        <v>183</v>
      </c>
      <c r="D49" s="652">
        <v>2</v>
      </c>
      <c r="E49" s="760">
        <v>2</v>
      </c>
      <c r="F49" s="654">
        <f t="shared" si="0"/>
        <v>4</v>
      </c>
      <c r="G49" s="761">
        <v>1</v>
      </c>
      <c r="H49" s="654">
        <f t="shared" si="1"/>
        <v>2</v>
      </c>
      <c r="I49" s="655"/>
      <c r="J49" s="654">
        <f t="shared" si="28"/>
        <v>0</v>
      </c>
      <c r="K49" s="656"/>
      <c r="L49" s="654">
        <f t="shared" si="3"/>
        <v>0</v>
      </c>
      <c r="M49" s="68">
        <v>2</v>
      </c>
      <c r="N49" s="654">
        <f t="shared" si="4"/>
        <v>4</v>
      </c>
      <c r="O49" s="657">
        <v>1</v>
      </c>
      <c r="P49" s="658">
        <f t="shared" si="5"/>
        <v>2</v>
      </c>
      <c r="Q49" s="68"/>
      <c r="R49" s="654">
        <f t="shared" si="6"/>
        <v>0</v>
      </c>
      <c r="S49" s="68"/>
      <c r="T49" s="654">
        <f t="shared" si="7"/>
        <v>0</v>
      </c>
      <c r="U49" s="68"/>
      <c r="V49" s="654">
        <f t="shared" si="8"/>
        <v>0</v>
      </c>
      <c r="W49" s="68"/>
      <c r="X49" s="654">
        <f t="shared" si="9"/>
        <v>0</v>
      </c>
      <c r="Y49" s="68"/>
      <c r="Z49" s="654">
        <f t="shared" si="10"/>
        <v>0</v>
      </c>
      <c r="AA49" s="659"/>
      <c r="AB49" s="654">
        <f t="shared" si="11"/>
        <v>0</v>
      </c>
      <c r="AC49" s="660">
        <f>'Commande Souvenirs, librairie'!E11</f>
        <v>1.182</v>
      </c>
      <c r="AD49" s="780">
        <f t="shared" si="29"/>
        <v>1.4183999999999999</v>
      </c>
      <c r="AE49" s="797"/>
      <c r="AF49" s="782">
        <f t="shared" si="30"/>
        <v>0.5816000000000001</v>
      </c>
      <c r="AG49" s="663">
        <f t="shared" si="31"/>
        <v>3.4896000000000007</v>
      </c>
      <c r="AH49" s="784">
        <f t="shared" si="15"/>
        <v>12</v>
      </c>
      <c r="AI49" s="804">
        <f t="shared" si="32"/>
        <v>6</v>
      </c>
      <c r="AJ49" s="805">
        <v>3</v>
      </c>
      <c r="AK49" s="667"/>
      <c r="AL49" s="647">
        <f t="shared" si="33"/>
        <v>3</v>
      </c>
      <c r="AM49" s="669">
        <f t="shared" si="34"/>
        <v>-3</v>
      </c>
      <c r="AN49" s="670"/>
      <c r="AO49" s="806"/>
    </row>
    <row r="50" spans="1:41" ht="21.75">
      <c r="A50" s="790"/>
      <c r="B50" s="791"/>
      <c r="C50" s="771" t="s">
        <v>562</v>
      </c>
      <c r="D50" s="652">
        <v>2</v>
      </c>
      <c r="E50" s="760"/>
      <c r="F50" s="654">
        <f t="shared" si="0"/>
        <v>0</v>
      </c>
      <c r="G50" s="761"/>
      <c r="H50" s="654">
        <f t="shared" si="1"/>
        <v>0</v>
      </c>
      <c r="I50" s="655"/>
      <c r="J50" s="654">
        <f t="shared" si="28"/>
        <v>0</v>
      </c>
      <c r="K50" s="656"/>
      <c r="L50" s="654">
        <f t="shared" si="3"/>
        <v>0</v>
      </c>
      <c r="M50" s="68"/>
      <c r="N50" s="654">
        <f t="shared" si="4"/>
        <v>0</v>
      </c>
      <c r="O50" s="657">
        <v>1</v>
      </c>
      <c r="P50" s="658">
        <f t="shared" si="5"/>
        <v>2</v>
      </c>
      <c r="Q50" s="68"/>
      <c r="R50" s="654">
        <f t="shared" si="6"/>
        <v>0</v>
      </c>
      <c r="S50" s="68"/>
      <c r="T50" s="654">
        <f t="shared" si="7"/>
        <v>0</v>
      </c>
      <c r="U50" s="68"/>
      <c r="V50" s="654">
        <f t="shared" si="8"/>
        <v>0</v>
      </c>
      <c r="W50" s="68"/>
      <c r="X50" s="654">
        <f t="shared" si="9"/>
        <v>0</v>
      </c>
      <c r="Y50" s="68"/>
      <c r="Z50" s="654">
        <f t="shared" si="10"/>
        <v>0</v>
      </c>
      <c r="AA50" s="659"/>
      <c r="AB50" s="654">
        <f t="shared" si="11"/>
        <v>0</v>
      </c>
      <c r="AC50" s="660">
        <f>'Commande Souvenirs, librairie'!E12</f>
        <v>1.182</v>
      </c>
      <c r="AD50" s="780">
        <f t="shared" si="29"/>
        <v>1.4183999999999999</v>
      </c>
      <c r="AE50" s="797"/>
      <c r="AF50" s="782">
        <f t="shared" si="30"/>
        <v>0.5816000000000001</v>
      </c>
      <c r="AG50" s="663">
        <f t="shared" si="31"/>
        <v>0.5816000000000001</v>
      </c>
      <c r="AH50" s="784">
        <f t="shared" si="15"/>
        <v>2</v>
      </c>
      <c r="AI50" s="804">
        <f t="shared" si="32"/>
        <v>1</v>
      </c>
      <c r="AJ50" s="805">
        <v>3</v>
      </c>
      <c r="AK50" s="667"/>
      <c r="AL50" s="647"/>
      <c r="AM50" s="669"/>
      <c r="AN50" s="670"/>
      <c r="AO50" s="806"/>
    </row>
    <row r="51" spans="1:41" ht="21.75">
      <c r="A51" s="790"/>
      <c r="B51" s="791"/>
      <c r="C51" s="771" t="s">
        <v>185</v>
      </c>
      <c r="D51" s="652">
        <v>2</v>
      </c>
      <c r="E51" s="760">
        <v>1</v>
      </c>
      <c r="F51" s="654">
        <f t="shared" si="0"/>
        <v>2</v>
      </c>
      <c r="G51" s="761"/>
      <c r="H51" s="654">
        <f t="shared" si="1"/>
        <v>0</v>
      </c>
      <c r="I51" s="655"/>
      <c r="J51" s="654">
        <f t="shared" si="28"/>
        <v>0</v>
      </c>
      <c r="K51" s="656"/>
      <c r="L51" s="654">
        <f t="shared" si="3"/>
        <v>0</v>
      </c>
      <c r="M51" s="68">
        <v>1</v>
      </c>
      <c r="N51" s="654">
        <f t="shared" si="4"/>
        <v>2</v>
      </c>
      <c r="O51" s="657">
        <v>1</v>
      </c>
      <c r="P51" s="658">
        <f t="shared" si="5"/>
        <v>2</v>
      </c>
      <c r="Q51" s="68"/>
      <c r="R51" s="654">
        <f t="shared" si="6"/>
        <v>0</v>
      </c>
      <c r="S51" s="68"/>
      <c r="T51" s="654">
        <f t="shared" si="7"/>
        <v>0</v>
      </c>
      <c r="U51" s="68"/>
      <c r="V51" s="654">
        <f t="shared" si="8"/>
        <v>0</v>
      </c>
      <c r="W51" s="68"/>
      <c r="X51" s="654">
        <f t="shared" si="9"/>
        <v>0</v>
      </c>
      <c r="Y51" s="68"/>
      <c r="Z51" s="654">
        <f t="shared" si="10"/>
        <v>0</v>
      </c>
      <c r="AA51" s="659"/>
      <c r="AB51" s="654">
        <f t="shared" si="11"/>
        <v>0</v>
      </c>
      <c r="AC51" s="660">
        <f>'Commande Souvenirs, librairie'!E13</f>
        <v>1.182</v>
      </c>
      <c r="AD51" s="780">
        <f t="shared" si="29"/>
        <v>1.4183999999999999</v>
      </c>
      <c r="AE51" s="797"/>
      <c r="AF51" s="782">
        <f t="shared" si="30"/>
        <v>0.5816000000000001</v>
      </c>
      <c r="AG51" s="663">
        <f t="shared" si="31"/>
        <v>1.7448000000000004</v>
      </c>
      <c r="AH51" s="784">
        <f t="shared" si="15"/>
        <v>6</v>
      </c>
      <c r="AI51" s="804">
        <f t="shared" si="32"/>
        <v>3</v>
      </c>
      <c r="AJ51" s="805">
        <v>1</v>
      </c>
      <c r="AK51" s="667"/>
      <c r="AL51" s="647">
        <f aca="true" t="shared" si="35" ref="AL51:AL55">AJ51+AK51</f>
        <v>1</v>
      </c>
      <c r="AM51" s="669">
        <f aca="true" t="shared" si="36" ref="AM51:AM55">AK51-AL51</f>
        <v>-1</v>
      </c>
      <c r="AN51" s="670"/>
      <c r="AO51" s="806"/>
    </row>
    <row r="52" spans="1:41" ht="21.75">
      <c r="A52" s="790"/>
      <c r="B52" s="791"/>
      <c r="C52" s="771" t="s">
        <v>186</v>
      </c>
      <c r="D52" s="652">
        <v>2</v>
      </c>
      <c r="E52" s="653"/>
      <c r="F52" s="654">
        <f t="shared" si="0"/>
        <v>0</v>
      </c>
      <c r="G52" s="761">
        <v>1</v>
      </c>
      <c r="H52" s="654">
        <f t="shared" si="1"/>
        <v>2</v>
      </c>
      <c r="I52" s="773">
        <v>1</v>
      </c>
      <c r="J52" s="654">
        <f t="shared" si="28"/>
        <v>2</v>
      </c>
      <c r="K52" s="656"/>
      <c r="L52" s="654">
        <f t="shared" si="3"/>
        <v>0</v>
      </c>
      <c r="M52" s="68">
        <v>1</v>
      </c>
      <c r="N52" s="654">
        <f t="shared" si="4"/>
        <v>2</v>
      </c>
      <c r="O52" s="657">
        <v>1</v>
      </c>
      <c r="P52" s="658">
        <f t="shared" si="5"/>
        <v>2</v>
      </c>
      <c r="Q52" s="68"/>
      <c r="R52" s="654">
        <f t="shared" si="6"/>
        <v>0</v>
      </c>
      <c r="S52" s="68"/>
      <c r="T52" s="654">
        <f t="shared" si="7"/>
        <v>0</v>
      </c>
      <c r="U52" s="68"/>
      <c r="V52" s="654">
        <f t="shared" si="8"/>
        <v>0</v>
      </c>
      <c r="W52" s="68"/>
      <c r="X52" s="654">
        <f t="shared" si="9"/>
        <v>0</v>
      </c>
      <c r="Y52" s="68"/>
      <c r="Z52" s="654">
        <f t="shared" si="10"/>
        <v>0</v>
      </c>
      <c r="AA52" s="659"/>
      <c r="AB52" s="654">
        <f t="shared" si="11"/>
        <v>0</v>
      </c>
      <c r="AC52" s="660">
        <f>'Commande Souvenirs, librairie'!E14</f>
        <v>1.182</v>
      </c>
      <c r="AD52" s="780">
        <f t="shared" si="29"/>
        <v>1.4183999999999999</v>
      </c>
      <c r="AE52" s="797"/>
      <c r="AF52" s="782">
        <f t="shared" si="30"/>
        <v>0.5816000000000001</v>
      </c>
      <c r="AG52" s="663">
        <f t="shared" si="31"/>
        <v>2.3264000000000005</v>
      </c>
      <c r="AH52" s="784">
        <f t="shared" si="15"/>
        <v>8</v>
      </c>
      <c r="AI52" s="804">
        <f t="shared" si="32"/>
        <v>4</v>
      </c>
      <c r="AJ52" s="805">
        <v>6</v>
      </c>
      <c r="AK52" s="667"/>
      <c r="AL52" s="647">
        <f t="shared" si="35"/>
        <v>6</v>
      </c>
      <c r="AM52" s="669">
        <f t="shared" si="36"/>
        <v>-6</v>
      </c>
      <c r="AN52" s="670"/>
      <c r="AO52" s="806"/>
    </row>
    <row r="53" spans="1:41" ht="21.75">
      <c r="A53" s="790"/>
      <c r="B53" s="791"/>
      <c r="C53" s="771" t="s">
        <v>563</v>
      </c>
      <c r="D53" s="652">
        <v>2</v>
      </c>
      <c r="E53" s="653"/>
      <c r="F53" s="654">
        <f t="shared" si="0"/>
        <v>0</v>
      </c>
      <c r="G53" s="761"/>
      <c r="H53" s="654">
        <f t="shared" si="1"/>
        <v>0</v>
      </c>
      <c r="I53" s="773"/>
      <c r="J53" s="654">
        <f t="shared" si="28"/>
        <v>0</v>
      </c>
      <c r="K53" s="656"/>
      <c r="L53" s="654">
        <f t="shared" si="3"/>
        <v>0</v>
      </c>
      <c r="M53" s="68"/>
      <c r="N53" s="654">
        <f t="shared" si="4"/>
        <v>0</v>
      </c>
      <c r="O53" s="657"/>
      <c r="P53" s="658">
        <f t="shared" si="5"/>
        <v>0</v>
      </c>
      <c r="Q53" s="68"/>
      <c r="R53" s="654">
        <f t="shared" si="6"/>
        <v>0</v>
      </c>
      <c r="S53" s="68"/>
      <c r="T53" s="654">
        <f t="shared" si="7"/>
        <v>0</v>
      </c>
      <c r="U53" s="68"/>
      <c r="V53" s="654">
        <f t="shared" si="8"/>
        <v>0</v>
      </c>
      <c r="W53" s="68"/>
      <c r="X53" s="654">
        <f t="shared" si="9"/>
        <v>0</v>
      </c>
      <c r="Y53" s="68"/>
      <c r="Z53" s="654">
        <f t="shared" si="10"/>
        <v>0</v>
      </c>
      <c r="AA53" s="659"/>
      <c r="AB53" s="654">
        <f t="shared" si="11"/>
        <v>0</v>
      </c>
      <c r="AC53" s="660">
        <f>'Commande Souvenirs, librairie'!E15</f>
        <v>1.182</v>
      </c>
      <c r="AD53" s="780">
        <f t="shared" si="29"/>
        <v>1.4183999999999999</v>
      </c>
      <c r="AE53" s="797"/>
      <c r="AF53" s="782">
        <f t="shared" si="30"/>
        <v>0.5816000000000001</v>
      </c>
      <c r="AG53" s="663">
        <f t="shared" si="31"/>
        <v>0</v>
      </c>
      <c r="AH53" s="784">
        <f t="shared" si="15"/>
        <v>0</v>
      </c>
      <c r="AI53" s="804">
        <f t="shared" si="32"/>
        <v>0</v>
      </c>
      <c r="AJ53" s="805">
        <v>1</v>
      </c>
      <c r="AK53" s="667"/>
      <c r="AL53" s="647">
        <f t="shared" si="35"/>
        <v>1</v>
      </c>
      <c r="AM53" s="669">
        <f t="shared" si="36"/>
        <v>-1</v>
      </c>
      <c r="AN53" s="670"/>
      <c r="AO53" s="806"/>
    </row>
    <row r="54" spans="1:41" ht="21.75">
      <c r="A54" s="790"/>
      <c r="B54" s="791"/>
      <c r="C54" s="771" t="s">
        <v>564</v>
      </c>
      <c r="D54" s="652">
        <v>2</v>
      </c>
      <c r="E54" s="659"/>
      <c r="F54" s="654">
        <f t="shared" si="0"/>
        <v>0</v>
      </c>
      <c r="G54" s="761"/>
      <c r="H54" s="654">
        <f t="shared" si="1"/>
        <v>0</v>
      </c>
      <c r="I54" s="802"/>
      <c r="J54" s="654">
        <f t="shared" si="28"/>
        <v>0</v>
      </c>
      <c r="K54" s="802"/>
      <c r="L54" s="654">
        <f t="shared" si="3"/>
        <v>0</v>
      </c>
      <c r="M54" s="68"/>
      <c r="N54" s="654">
        <f t="shared" si="4"/>
        <v>0</v>
      </c>
      <c r="O54" s="657"/>
      <c r="P54" s="658">
        <f t="shared" si="5"/>
        <v>0</v>
      </c>
      <c r="Q54" s="68"/>
      <c r="R54" s="654">
        <f t="shared" si="6"/>
        <v>0</v>
      </c>
      <c r="S54" s="68"/>
      <c r="T54" s="654">
        <f t="shared" si="7"/>
        <v>0</v>
      </c>
      <c r="U54" s="68"/>
      <c r="V54" s="654">
        <f t="shared" si="8"/>
        <v>0</v>
      </c>
      <c r="W54" s="68"/>
      <c r="X54" s="654">
        <f t="shared" si="9"/>
        <v>0</v>
      </c>
      <c r="Y54" s="68"/>
      <c r="Z54" s="654">
        <f t="shared" si="10"/>
        <v>0</v>
      </c>
      <c r="AA54" s="659"/>
      <c r="AB54" s="654">
        <f t="shared" si="11"/>
        <v>0</v>
      </c>
      <c r="AC54" s="660">
        <f>'Commande Souvenirs, librairie'!E17</f>
        <v>1.182</v>
      </c>
      <c r="AD54" s="780">
        <f t="shared" si="29"/>
        <v>1.4183999999999999</v>
      </c>
      <c r="AE54" s="797"/>
      <c r="AF54" s="782">
        <f t="shared" si="30"/>
        <v>0.5816000000000001</v>
      </c>
      <c r="AG54" s="663">
        <f t="shared" si="31"/>
        <v>0</v>
      </c>
      <c r="AH54" s="784">
        <f t="shared" si="15"/>
        <v>0</v>
      </c>
      <c r="AI54" s="804">
        <f t="shared" si="32"/>
        <v>0</v>
      </c>
      <c r="AJ54" s="805">
        <v>0</v>
      </c>
      <c r="AK54" s="667"/>
      <c r="AL54" s="647">
        <f t="shared" si="35"/>
        <v>0</v>
      </c>
      <c r="AM54" s="669">
        <f t="shared" si="36"/>
        <v>0</v>
      </c>
      <c r="AN54" s="670"/>
      <c r="AO54" s="806"/>
    </row>
    <row r="55" spans="1:41" ht="21.75">
      <c r="A55" s="790"/>
      <c r="B55" s="791"/>
      <c r="C55" s="771" t="s">
        <v>195</v>
      </c>
      <c r="D55" s="652">
        <v>2</v>
      </c>
      <c r="E55" s="653"/>
      <c r="F55" s="654">
        <f t="shared" si="0"/>
        <v>0</v>
      </c>
      <c r="G55" s="761"/>
      <c r="H55" s="654">
        <f t="shared" si="1"/>
        <v>0</v>
      </c>
      <c r="I55" s="773">
        <v>1</v>
      </c>
      <c r="J55" s="654">
        <f t="shared" si="28"/>
        <v>2</v>
      </c>
      <c r="K55" s="656"/>
      <c r="L55" s="654">
        <f t="shared" si="3"/>
        <v>0</v>
      </c>
      <c r="M55" s="68">
        <v>1</v>
      </c>
      <c r="N55" s="654">
        <f t="shared" si="4"/>
        <v>2</v>
      </c>
      <c r="O55" s="657"/>
      <c r="P55" s="658">
        <f t="shared" si="5"/>
        <v>0</v>
      </c>
      <c r="Q55" s="68"/>
      <c r="R55" s="654">
        <f t="shared" si="6"/>
        <v>0</v>
      </c>
      <c r="S55" s="68"/>
      <c r="T55" s="654">
        <f t="shared" si="7"/>
        <v>0</v>
      </c>
      <c r="U55" s="68"/>
      <c r="V55" s="654">
        <f t="shared" si="8"/>
        <v>0</v>
      </c>
      <c r="W55" s="68"/>
      <c r="X55" s="654">
        <f t="shared" si="9"/>
        <v>0</v>
      </c>
      <c r="Y55" s="68"/>
      <c r="Z55" s="654">
        <f t="shared" si="10"/>
        <v>0</v>
      </c>
      <c r="AA55" s="659"/>
      <c r="AB55" s="654">
        <f t="shared" si="11"/>
        <v>0</v>
      </c>
      <c r="AC55" s="660">
        <f>'Commande Souvenirs, librairie'!E22</f>
        <v>1.182</v>
      </c>
      <c r="AD55" s="780">
        <f t="shared" si="29"/>
        <v>1.4183999999999999</v>
      </c>
      <c r="AE55" s="797"/>
      <c r="AF55" s="782">
        <f t="shared" si="30"/>
        <v>0.5816000000000001</v>
      </c>
      <c r="AG55" s="663">
        <f t="shared" si="31"/>
        <v>1.1632000000000002</v>
      </c>
      <c r="AH55" s="784">
        <f t="shared" si="15"/>
        <v>4</v>
      </c>
      <c r="AI55" s="804">
        <f t="shared" si="32"/>
        <v>2</v>
      </c>
      <c r="AJ55" s="805">
        <v>0</v>
      </c>
      <c r="AK55" s="667"/>
      <c r="AL55" s="647">
        <f t="shared" si="35"/>
        <v>0</v>
      </c>
      <c r="AM55" s="669">
        <f t="shared" si="36"/>
        <v>0</v>
      </c>
      <c r="AN55" s="670"/>
      <c r="AO55" s="806"/>
    </row>
    <row r="56" spans="1:41" ht="21.75">
      <c r="A56" s="790"/>
      <c r="B56" s="791"/>
      <c r="C56" s="771" t="s">
        <v>565</v>
      </c>
      <c r="D56" s="652">
        <v>2</v>
      </c>
      <c r="E56" s="653"/>
      <c r="F56" s="654">
        <f t="shared" si="0"/>
        <v>0</v>
      </c>
      <c r="G56" s="655"/>
      <c r="H56" s="654">
        <f t="shared" si="1"/>
        <v>0</v>
      </c>
      <c r="I56" s="773"/>
      <c r="J56" s="654">
        <f t="shared" si="28"/>
        <v>0</v>
      </c>
      <c r="K56" s="656"/>
      <c r="L56" s="654">
        <f t="shared" si="3"/>
        <v>0</v>
      </c>
      <c r="M56" s="68">
        <v>1</v>
      </c>
      <c r="N56" s="654">
        <f t="shared" si="4"/>
        <v>2</v>
      </c>
      <c r="O56" s="657"/>
      <c r="P56" s="658">
        <f t="shared" si="5"/>
        <v>0</v>
      </c>
      <c r="Q56" s="68"/>
      <c r="R56" s="654">
        <f t="shared" si="6"/>
        <v>0</v>
      </c>
      <c r="S56" s="68"/>
      <c r="T56" s="654">
        <f t="shared" si="7"/>
        <v>0</v>
      </c>
      <c r="U56" s="68"/>
      <c r="V56" s="654">
        <f t="shared" si="8"/>
        <v>0</v>
      </c>
      <c r="W56" s="68"/>
      <c r="X56" s="654">
        <f t="shared" si="9"/>
        <v>0</v>
      </c>
      <c r="Y56" s="68"/>
      <c r="Z56" s="654">
        <f t="shared" si="10"/>
        <v>0</v>
      </c>
      <c r="AA56" s="659"/>
      <c r="AB56" s="654">
        <f t="shared" si="11"/>
        <v>0</v>
      </c>
      <c r="AC56" s="660">
        <f>'Commande Souvenirs, librairie'!E24</f>
        <v>1.182</v>
      </c>
      <c r="AD56" s="780">
        <f t="shared" si="29"/>
        <v>1.4183999999999999</v>
      </c>
      <c r="AE56" s="797"/>
      <c r="AF56" s="782">
        <f t="shared" si="30"/>
        <v>0.5816000000000001</v>
      </c>
      <c r="AG56" s="663">
        <f t="shared" si="31"/>
        <v>0.5816000000000001</v>
      </c>
      <c r="AH56" s="784">
        <f t="shared" si="15"/>
        <v>2</v>
      </c>
      <c r="AI56" s="804">
        <f t="shared" si="32"/>
        <v>1</v>
      </c>
      <c r="AJ56" s="805">
        <v>0</v>
      </c>
      <c r="AK56" s="807"/>
      <c r="AL56" s="808"/>
      <c r="AM56" s="809"/>
      <c r="AN56" s="810"/>
      <c r="AO56" s="806"/>
    </row>
    <row r="57" spans="1:41" ht="21.75">
      <c r="A57" s="790"/>
      <c r="B57" s="791"/>
      <c r="C57" s="811" t="s">
        <v>566</v>
      </c>
      <c r="D57" s="675">
        <v>2</v>
      </c>
      <c r="E57" s="812"/>
      <c r="F57" s="677">
        <f t="shared" si="0"/>
        <v>0</v>
      </c>
      <c r="G57" s="813"/>
      <c r="H57" s="677">
        <f t="shared" si="1"/>
        <v>0</v>
      </c>
      <c r="I57" s="814"/>
      <c r="J57" s="677">
        <f t="shared" si="28"/>
        <v>0</v>
      </c>
      <c r="K57" s="814"/>
      <c r="L57" s="677">
        <f t="shared" si="3"/>
        <v>0</v>
      </c>
      <c r="M57" s="680"/>
      <c r="N57" s="677">
        <f t="shared" si="4"/>
        <v>0</v>
      </c>
      <c r="O57" s="681"/>
      <c r="P57" s="682">
        <f t="shared" si="5"/>
        <v>0</v>
      </c>
      <c r="Q57" s="680"/>
      <c r="R57" s="677">
        <f t="shared" si="6"/>
        <v>0</v>
      </c>
      <c r="S57" s="680"/>
      <c r="T57" s="677">
        <f t="shared" si="7"/>
        <v>0</v>
      </c>
      <c r="U57" s="680"/>
      <c r="V57" s="677">
        <f t="shared" si="8"/>
        <v>0</v>
      </c>
      <c r="W57" s="680"/>
      <c r="X57" s="677">
        <f t="shared" si="9"/>
        <v>0</v>
      </c>
      <c r="Y57" s="680"/>
      <c r="Z57" s="677">
        <f t="shared" si="10"/>
        <v>0</v>
      </c>
      <c r="AA57" s="683"/>
      <c r="AB57" s="677">
        <f t="shared" si="11"/>
        <v>0</v>
      </c>
      <c r="AC57" s="684">
        <f>'Commande Souvenirs, librairie'!E25</f>
        <v>1.182</v>
      </c>
      <c r="AD57" s="815">
        <f t="shared" si="29"/>
        <v>1.4183999999999999</v>
      </c>
      <c r="AE57" s="797"/>
      <c r="AF57" s="743">
        <f t="shared" si="30"/>
        <v>0.5816000000000001</v>
      </c>
      <c r="AG57" s="687">
        <f t="shared" si="31"/>
        <v>0</v>
      </c>
      <c r="AH57" s="816">
        <f t="shared" si="15"/>
        <v>0</v>
      </c>
      <c r="AI57" s="817">
        <f t="shared" si="32"/>
        <v>0</v>
      </c>
      <c r="AJ57" s="745">
        <v>0</v>
      </c>
      <c r="AK57" s="818"/>
      <c r="AL57" s="819"/>
      <c r="AM57" s="820"/>
      <c r="AN57" s="748"/>
      <c r="AO57" s="749"/>
    </row>
    <row r="58" spans="1:41" ht="20.25" customHeight="1">
      <c r="A58" s="821" t="s">
        <v>567</v>
      </c>
      <c r="B58" s="822" t="s">
        <v>355</v>
      </c>
      <c r="C58" s="628" t="s">
        <v>568</v>
      </c>
      <c r="D58" s="629">
        <v>24.9</v>
      </c>
      <c r="E58" s="630"/>
      <c r="F58" s="631">
        <f t="shared" si="0"/>
        <v>0</v>
      </c>
      <c r="G58" s="632"/>
      <c r="H58" s="631">
        <f t="shared" si="1"/>
        <v>0</v>
      </c>
      <c r="I58" s="632"/>
      <c r="J58" s="631">
        <f t="shared" si="28"/>
        <v>0</v>
      </c>
      <c r="K58" s="633">
        <v>1</v>
      </c>
      <c r="L58" s="631">
        <f t="shared" si="3"/>
        <v>24.9</v>
      </c>
      <c r="M58" s="634"/>
      <c r="N58" s="631">
        <f t="shared" si="4"/>
        <v>0</v>
      </c>
      <c r="O58" s="635"/>
      <c r="P58" s="636">
        <f t="shared" si="5"/>
        <v>0</v>
      </c>
      <c r="Q58" s="634"/>
      <c r="R58" s="631">
        <f t="shared" si="6"/>
        <v>0</v>
      </c>
      <c r="S58" s="634"/>
      <c r="T58" s="631">
        <f t="shared" si="7"/>
        <v>0</v>
      </c>
      <c r="U58" s="634"/>
      <c r="V58" s="631">
        <f t="shared" si="8"/>
        <v>0</v>
      </c>
      <c r="W58" s="634"/>
      <c r="X58" s="631">
        <f t="shared" si="9"/>
        <v>0</v>
      </c>
      <c r="Y58" s="634"/>
      <c r="Z58" s="631">
        <f t="shared" si="10"/>
        <v>0</v>
      </c>
      <c r="AA58" s="637"/>
      <c r="AB58" s="631">
        <f t="shared" si="11"/>
        <v>0</v>
      </c>
      <c r="AC58" s="638">
        <v>9.9</v>
      </c>
      <c r="AD58" s="639">
        <f aca="true" t="shared" si="37" ref="AD58:AD60">(AC58*5.5)/100+AC58</f>
        <v>10.4445</v>
      </c>
      <c r="AE58" s="823">
        <v>0.055</v>
      </c>
      <c r="AF58" s="641">
        <f t="shared" si="30"/>
        <v>14.455499999999999</v>
      </c>
      <c r="AG58" s="642">
        <f t="shared" si="31"/>
        <v>14.455499999999999</v>
      </c>
      <c r="AH58" s="643">
        <f t="shared" si="15"/>
        <v>24.9</v>
      </c>
      <c r="AI58" s="644">
        <f t="shared" si="32"/>
        <v>1</v>
      </c>
      <c r="AJ58" s="645">
        <v>3</v>
      </c>
      <c r="AK58" s="646"/>
      <c r="AL58" s="647">
        <f>AJ58+AK58</f>
        <v>3</v>
      </c>
      <c r="AM58" s="648">
        <f>AK58-AL58</f>
        <v>-3</v>
      </c>
      <c r="AN58" s="649">
        <f>AI58-AM58</f>
        <v>4</v>
      </c>
      <c r="AO58" s="650"/>
    </row>
    <row r="59" spans="1:41" ht="20.25">
      <c r="A59" s="821"/>
      <c r="B59" s="822"/>
      <c r="C59" s="824" t="s">
        <v>569</v>
      </c>
      <c r="D59" s="652">
        <v>12</v>
      </c>
      <c r="E59" s="653"/>
      <c r="F59" s="654">
        <f t="shared" si="0"/>
        <v>0</v>
      </c>
      <c r="G59" s="655"/>
      <c r="H59" s="654">
        <f t="shared" si="1"/>
        <v>0</v>
      </c>
      <c r="I59" s="655"/>
      <c r="J59" s="654">
        <f t="shared" si="28"/>
        <v>0</v>
      </c>
      <c r="K59" s="656"/>
      <c r="L59" s="654">
        <f t="shared" si="3"/>
        <v>0</v>
      </c>
      <c r="M59" s="68"/>
      <c r="N59" s="654">
        <f t="shared" si="4"/>
        <v>0</v>
      </c>
      <c r="O59" s="657"/>
      <c r="P59" s="658">
        <f t="shared" si="5"/>
        <v>0</v>
      </c>
      <c r="Q59" s="68"/>
      <c r="R59" s="654">
        <f t="shared" si="6"/>
        <v>0</v>
      </c>
      <c r="S59" s="68"/>
      <c r="T59" s="654">
        <f t="shared" si="7"/>
        <v>0</v>
      </c>
      <c r="U59" s="68"/>
      <c r="V59" s="654">
        <f t="shared" si="8"/>
        <v>0</v>
      </c>
      <c r="W59" s="68"/>
      <c r="X59" s="654">
        <f t="shared" si="9"/>
        <v>0</v>
      </c>
      <c r="Y59" s="68"/>
      <c r="Z59" s="654">
        <f t="shared" si="10"/>
        <v>0</v>
      </c>
      <c r="AA59" s="659"/>
      <c r="AB59" s="654">
        <f t="shared" si="11"/>
        <v>0</v>
      </c>
      <c r="AC59" s="660">
        <f>'Commande Souvenirs, librairie'!E150</f>
        <v>7.6208</v>
      </c>
      <c r="AD59" s="661">
        <f t="shared" si="37"/>
        <v>8.039944</v>
      </c>
      <c r="AE59" s="823"/>
      <c r="AF59" s="662">
        <f t="shared" si="30"/>
        <v>3.960056</v>
      </c>
      <c r="AG59" s="663">
        <f t="shared" si="31"/>
        <v>0</v>
      </c>
      <c r="AH59" s="664">
        <f t="shared" si="15"/>
        <v>0</v>
      </c>
      <c r="AI59" s="665">
        <f t="shared" si="32"/>
        <v>0</v>
      </c>
      <c r="AJ59" s="666">
        <v>1</v>
      </c>
      <c r="AK59" s="825"/>
      <c r="AL59" s="668"/>
      <c r="AM59" s="669"/>
      <c r="AN59" s="670"/>
      <c r="AO59" s="671"/>
    </row>
    <row r="60" spans="1:41" ht="20.25">
      <c r="A60" s="821"/>
      <c r="B60" s="822"/>
      <c r="C60" s="824" t="s">
        <v>570</v>
      </c>
      <c r="D60" s="652">
        <v>5</v>
      </c>
      <c r="E60" s="653"/>
      <c r="F60" s="654">
        <f t="shared" si="0"/>
        <v>0</v>
      </c>
      <c r="G60" s="655"/>
      <c r="H60" s="654">
        <f t="shared" si="1"/>
        <v>0</v>
      </c>
      <c r="I60" s="655"/>
      <c r="J60" s="654">
        <f t="shared" si="28"/>
        <v>0</v>
      </c>
      <c r="K60" s="656"/>
      <c r="L60" s="654">
        <f t="shared" si="3"/>
        <v>0</v>
      </c>
      <c r="M60" s="68"/>
      <c r="N60" s="654">
        <f t="shared" si="4"/>
        <v>0</v>
      </c>
      <c r="O60" s="657"/>
      <c r="P60" s="658">
        <f t="shared" si="5"/>
        <v>0</v>
      </c>
      <c r="Q60" s="68"/>
      <c r="R60" s="654">
        <f t="shared" si="6"/>
        <v>0</v>
      </c>
      <c r="S60" s="68"/>
      <c r="T60" s="654">
        <f t="shared" si="7"/>
        <v>0</v>
      </c>
      <c r="U60" s="68"/>
      <c r="V60" s="654">
        <f t="shared" si="8"/>
        <v>0</v>
      </c>
      <c r="W60" s="68"/>
      <c r="X60" s="654">
        <f t="shared" si="9"/>
        <v>0</v>
      </c>
      <c r="Y60" s="68"/>
      <c r="Z60" s="654">
        <f t="shared" si="10"/>
        <v>0</v>
      </c>
      <c r="AA60" s="659"/>
      <c r="AB60" s="654">
        <f t="shared" si="11"/>
        <v>0</v>
      </c>
      <c r="AC60" s="660">
        <f>'Commande Souvenirs, librairie'!E153</f>
        <v>0</v>
      </c>
      <c r="AD60" s="661">
        <f t="shared" si="37"/>
        <v>0</v>
      </c>
      <c r="AE60" s="823"/>
      <c r="AF60" s="662">
        <f t="shared" si="30"/>
        <v>5</v>
      </c>
      <c r="AG60" s="663">
        <f t="shared" si="31"/>
        <v>0</v>
      </c>
      <c r="AH60" s="664">
        <f t="shared" si="15"/>
        <v>0</v>
      </c>
      <c r="AI60" s="665">
        <f t="shared" si="32"/>
        <v>0</v>
      </c>
      <c r="AJ60" s="666">
        <v>10</v>
      </c>
      <c r="AK60" s="825"/>
      <c r="AL60" s="668"/>
      <c r="AM60" s="669"/>
      <c r="AN60" s="670"/>
      <c r="AO60" s="671"/>
    </row>
    <row r="61" spans="1:41" ht="20.25">
      <c r="A61" s="821"/>
      <c r="B61" s="822"/>
      <c r="C61" s="824" t="s">
        <v>571</v>
      </c>
      <c r="D61" s="652">
        <v>9</v>
      </c>
      <c r="E61" s="653"/>
      <c r="F61" s="654">
        <f t="shared" si="0"/>
        <v>0</v>
      </c>
      <c r="G61" s="655"/>
      <c r="H61" s="654">
        <f t="shared" si="1"/>
        <v>0</v>
      </c>
      <c r="I61" s="655"/>
      <c r="J61" s="654">
        <f t="shared" si="28"/>
        <v>0</v>
      </c>
      <c r="K61" s="656"/>
      <c r="L61" s="654">
        <f t="shared" si="3"/>
        <v>0</v>
      </c>
      <c r="M61" s="68"/>
      <c r="N61" s="654">
        <f t="shared" si="4"/>
        <v>0</v>
      </c>
      <c r="O61" s="657"/>
      <c r="P61" s="658">
        <f t="shared" si="5"/>
        <v>0</v>
      </c>
      <c r="Q61" s="68"/>
      <c r="R61" s="654">
        <f t="shared" si="6"/>
        <v>0</v>
      </c>
      <c r="S61" s="68"/>
      <c r="T61" s="654">
        <f t="shared" si="7"/>
        <v>0</v>
      </c>
      <c r="U61" s="68"/>
      <c r="V61" s="654">
        <f t="shared" si="8"/>
        <v>0</v>
      </c>
      <c r="W61" s="68"/>
      <c r="X61" s="654">
        <f t="shared" si="9"/>
        <v>0</v>
      </c>
      <c r="Y61" s="68"/>
      <c r="Z61" s="654">
        <f t="shared" si="10"/>
        <v>0</v>
      </c>
      <c r="AA61" s="659"/>
      <c r="AB61" s="654">
        <f t="shared" si="11"/>
        <v>0</v>
      </c>
      <c r="AC61" s="660"/>
      <c r="AD61" s="661"/>
      <c r="AE61" s="823"/>
      <c r="AF61" s="662"/>
      <c r="AG61" s="663"/>
      <c r="AH61" s="664">
        <f t="shared" si="15"/>
        <v>0</v>
      </c>
      <c r="AI61" s="665">
        <f t="shared" si="32"/>
        <v>0</v>
      </c>
      <c r="AJ61" s="666"/>
      <c r="AK61" s="825"/>
      <c r="AL61" s="668"/>
      <c r="AM61" s="669"/>
      <c r="AN61" s="670"/>
      <c r="AO61" s="671"/>
    </row>
    <row r="62" spans="1:41" ht="20.25">
      <c r="A62" s="821"/>
      <c r="B62" s="822"/>
      <c r="C62" s="824" t="s">
        <v>374</v>
      </c>
      <c r="D62" s="652">
        <v>12</v>
      </c>
      <c r="E62" s="653"/>
      <c r="F62" s="654">
        <f t="shared" si="0"/>
        <v>0</v>
      </c>
      <c r="G62" s="655"/>
      <c r="H62" s="654">
        <f t="shared" si="1"/>
        <v>0</v>
      </c>
      <c r="I62" s="655"/>
      <c r="J62" s="654">
        <f t="shared" si="28"/>
        <v>0</v>
      </c>
      <c r="K62" s="656"/>
      <c r="L62" s="654">
        <f t="shared" si="3"/>
        <v>0</v>
      </c>
      <c r="M62" s="68"/>
      <c r="N62" s="654">
        <f t="shared" si="4"/>
        <v>0</v>
      </c>
      <c r="O62" s="657"/>
      <c r="P62" s="658">
        <f t="shared" si="5"/>
        <v>0</v>
      </c>
      <c r="Q62" s="68"/>
      <c r="R62" s="654">
        <f t="shared" si="6"/>
        <v>0</v>
      </c>
      <c r="S62" s="68"/>
      <c r="T62" s="654">
        <f t="shared" si="7"/>
        <v>0</v>
      </c>
      <c r="U62" s="68"/>
      <c r="V62" s="654">
        <f t="shared" si="8"/>
        <v>0</v>
      </c>
      <c r="W62" s="68"/>
      <c r="X62" s="654">
        <f t="shared" si="9"/>
        <v>0</v>
      </c>
      <c r="Y62" s="68"/>
      <c r="Z62" s="654">
        <f t="shared" si="10"/>
        <v>0</v>
      </c>
      <c r="AA62" s="659"/>
      <c r="AB62" s="654">
        <f t="shared" si="11"/>
        <v>0</v>
      </c>
      <c r="AC62" s="826"/>
      <c r="AD62" s="661">
        <f aca="true" t="shared" si="38" ref="AD62:AD65">(AC62*5.5)/100+AC62</f>
        <v>0</v>
      </c>
      <c r="AE62" s="823"/>
      <c r="AF62" s="662">
        <f aca="true" t="shared" si="39" ref="AF62:AF67">D62-AD62</f>
        <v>12</v>
      </c>
      <c r="AG62" s="663">
        <f aca="true" t="shared" si="40" ref="AG62:AG67">AF62*AI62</f>
        <v>0</v>
      </c>
      <c r="AH62" s="664">
        <f t="shared" si="15"/>
        <v>0</v>
      </c>
      <c r="AI62" s="665">
        <f t="shared" si="32"/>
        <v>0</v>
      </c>
      <c r="AJ62" s="827"/>
      <c r="AK62" s="667"/>
      <c r="AL62" s="668"/>
      <c r="AM62" s="669"/>
      <c r="AN62" s="670"/>
      <c r="AO62" s="828"/>
    </row>
    <row r="63" spans="1:41" ht="20.25">
      <c r="A63" s="821"/>
      <c r="B63" s="822"/>
      <c r="C63" s="824" t="s">
        <v>572</v>
      </c>
      <c r="D63" s="652">
        <v>14</v>
      </c>
      <c r="E63" s="653"/>
      <c r="F63" s="654">
        <f t="shared" si="0"/>
        <v>0</v>
      </c>
      <c r="G63" s="761">
        <v>1</v>
      </c>
      <c r="H63" s="654">
        <f t="shared" si="1"/>
        <v>14</v>
      </c>
      <c r="I63" s="655"/>
      <c r="J63" s="654">
        <f t="shared" si="28"/>
        <v>0</v>
      </c>
      <c r="K63" s="656"/>
      <c r="L63" s="654">
        <f t="shared" si="3"/>
        <v>0</v>
      </c>
      <c r="M63" s="68"/>
      <c r="N63" s="654">
        <f t="shared" si="4"/>
        <v>0</v>
      </c>
      <c r="O63" s="657"/>
      <c r="P63" s="658">
        <f t="shared" si="5"/>
        <v>0</v>
      </c>
      <c r="Q63" s="68"/>
      <c r="R63" s="654">
        <f t="shared" si="6"/>
        <v>0</v>
      </c>
      <c r="S63" s="68"/>
      <c r="T63" s="654">
        <f t="shared" si="7"/>
        <v>0</v>
      </c>
      <c r="U63" s="68"/>
      <c r="V63" s="654">
        <f t="shared" si="8"/>
        <v>0</v>
      </c>
      <c r="W63" s="68"/>
      <c r="X63" s="654">
        <f t="shared" si="9"/>
        <v>0</v>
      </c>
      <c r="Y63" s="68"/>
      <c r="Z63" s="654">
        <f t="shared" si="10"/>
        <v>0</v>
      </c>
      <c r="AA63" s="659"/>
      <c r="AB63" s="654">
        <f t="shared" si="11"/>
        <v>0</v>
      </c>
      <c r="AC63" s="660">
        <v>7</v>
      </c>
      <c r="AD63" s="661">
        <f t="shared" si="38"/>
        <v>7.385</v>
      </c>
      <c r="AE63" s="823"/>
      <c r="AF63" s="662">
        <f t="shared" si="39"/>
        <v>6.615</v>
      </c>
      <c r="AG63" s="663">
        <f t="shared" si="40"/>
        <v>6.615</v>
      </c>
      <c r="AH63" s="664">
        <f t="shared" si="15"/>
        <v>14</v>
      </c>
      <c r="AI63" s="665">
        <f t="shared" si="32"/>
        <v>1</v>
      </c>
      <c r="AJ63" s="666">
        <v>2</v>
      </c>
      <c r="AK63" s="667"/>
      <c r="AL63" s="668"/>
      <c r="AM63" s="669"/>
      <c r="AN63" s="670"/>
      <c r="AO63" s="671"/>
    </row>
    <row r="64" spans="1:41" ht="20.25">
      <c r="A64" s="821"/>
      <c r="B64" s="822"/>
      <c r="C64" s="824" t="s">
        <v>573</v>
      </c>
      <c r="D64" s="652">
        <v>7</v>
      </c>
      <c r="E64" s="653"/>
      <c r="F64" s="654">
        <f t="shared" si="0"/>
        <v>0</v>
      </c>
      <c r="G64" s="655"/>
      <c r="H64" s="654">
        <f t="shared" si="1"/>
        <v>0</v>
      </c>
      <c r="I64" s="655"/>
      <c r="J64" s="654">
        <f t="shared" si="28"/>
        <v>0</v>
      </c>
      <c r="K64" s="656"/>
      <c r="L64" s="654">
        <f t="shared" si="3"/>
        <v>0</v>
      </c>
      <c r="M64" s="68"/>
      <c r="N64" s="654">
        <f t="shared" si="4"/>
        <v>0</v>
      </c>
      <c r="O64" s="657"/>
      <c r="P64" s="658">
        <f t="shared" si="5"/>
        <v>0</v>
      </c>
      <c r="Q64" s="68"/>
      <c r="R64" s="654">
        <f t="shared" si="6"/>
        <v>0</v>
      </c>
      <c r="S64" s="68"/>
      <c r="T64" s="654">
        <f t="shared" si="7"/>
        <v>0</v>
      </c>
      <c r="U64" s="68"/>
      <c r="V64" s="654">
        <f t="shared" si="8"/>
        <v>0</v>
      </c>
      <c r="W64" s="68"/>
      <c r="X64" s="654">
        <f t="shared" si="9"/>
        <v>0</v>
      </c>
      <c r="Y64" s="68"/>
      <c r="Z64" s="654">
        <f t="shared" si="10"/>
        <v>0</v>
      </c>
      <c r="AA64" s="659"/>
      <c r="AB64" s="654">
        <f t="shared" si="11"/>
        <v>0</v>
      </c>
      <c r="AC64" s="660">
        <f>'Commande Souvenirs, librairie'!E152</f>
        <v>4.59</v>
      </c>
      <c r="AD64" s="661">
        <f t="shared" si="38"/>
        <v>4.8424499999999995</v>
      </c>
      <c r="AE64" s="823"/>
      <c r="AF64" s="662">
        <f t="shared" si="39"/>
        <v>2.1575500000000005</v>
      </c>
      <c r="AG64" s="663">
        <f t="shared" si="40"/>
        <v>0</v>
      </c>
      <c r="AH64" s="664">
        <f t="shared" si="15"/>
        <v>0</v>
      </c>
      <c r="AI64" s="665">
        <f t="shared" si="32"/>
        <v>0</v>
      </c>
      <c r="AJ64" s="666">
        <v>4</v>
      </c>
      <c r="AK64" s="667"/>
      <c r="AL64" s="668"/>
      <c r="AM64" s="669"/>
      <c r="AN64" s="670"/>
      <c r="AO64" s="671"/>
    </row>
    <row r="65" spans="1:41" ht="21">
      <c r="A65" s="821"/>
      <c r="B65" s="822"/>
      <c r="C65" s="829" t="s">
        <v>574</v>
      </c>
      <c r="D65" s="698">
        <v>5.9</v>
      </c>
      <c r="E65" s="699"/>
      <c r="F65" s="700">
        <f t="shared" si="0"/>
        <v>0</v>
      </c>
      <c r="G65" s="701"/>
      <c r="H65" s="700">
        <f t="shared" si="1"/>
        <v>0</v>
      </c>
      <c r="I65" s="701"/>
      <c r="J65" s="700">
        <f t="shared" si="28"/>
        <v>0</v>
      </c>
      <c r="K65" s="702"/>
      <c r="L65" s="700">
        <f t="shared" si="3"/>
        <v>0</v>
      </c>
      <c r="M65" s="703">
        <v>1</v>
      </c>
      <c r="N65" s="700">
        <f t="shared" si="4"/>
        <v>5.9</v>
      </c>
      <c r="O65" s="704"/>
      <c r="P65" s="705">
        <f t="shared" si="5"/>
        <v>0</v>
      </c>
      <c r="Q65" s="703"/>
      <c r="R65" s="700">
        <f t="shared" si="6"/>
        <v>0</v>
      </c>
      <c r="S65" s="703"/>
      <c r="T65" s="700">
        <f t="shared" si="7"/>
        <v>0</v>
      </c>
      <c r="U65" s="703"/>
      <c r="V65" s="700">
        <f t="shared" si="8"/>
        <v>0</v>
      </c>
      <c r="W65" s="703"/>
      <c r="X65" s="700">
        <f t="shared" si="9"/>
        <v>0</v>
      </c>
      <c r="Y65" s="703"/>
      <c r="Z65" s="700">
        <f t="shared" si="10"/>
        <v>0</v>
      </c>
      <c r="AA65" s="706"/>
      <c r="AB65" s="700">
        <f t="shared" si="11"/>
        <v>0</v>
      </c>
      <c r="AC65" s="707">
        <f>'Commande Souvenirs, librairie'!E161</f>
        <v>3.915</v>
      </c>
      <c r="AD65" s="708">
        <f t="shared" si="38"/>
        <v>4.130325</v>
      </c>
      <c r="AE65" s="823"/>
      <c r="AF65" s="709">
        <f t="shared" si="39"/>
        <v>1.7696750000000003</v>
      </c>
      <c r="AG65" s="710">
        <f t="shared" si="40"/>
        <v>1.7696750000000003</v>
      </c>
      <c r="AH65" s="711">
        <f t="shared" si="15"/>
        <v>5.9</v>
      </c>
      <c r="AI65" s="712">
        <f t="shared" si="32"/>
        <v>1</v>
      </c>
      <c r="AJ65" s="713">
        <v>4</v>
      </c>
      <c r="AK65" s="767"/>
      <c r="AL65" s="715">
        <f>AJ65+AK65</f>
        <v>4</v>
      </c>
      <c r="AM65" s="768">
        <f>AK65-AL65</f>
        <v>-4</v>
      </c>
      <c r="AN65" s="717">
        <f>AI65-AM65</f>
        <v>5</v>
      </c>
      <c r="AO65" s="718"/>
    </row>
    <row r="66" spans="1:41" ht="21" customHeight="1">
      <c r="A66" s="830" t="s">
        <v>400</v>
      </c>
      <c r="B66" s="831" t="s">
        <v>575</v>
      </c>
      <c r="C66" s="832" t="s">
        <v>409</v>
      </c>
      <c r="D66" s="629">
        <v>4.2</v>
      </c>
      <c r="E66" s="630"/>
      <c r="F66" s="631">
        <f t="shared" si="0"/>
        <v>0</v>
      </c>
      <c r="G66" s="632"/>
      <c r="H66" s="631">
        <f t="shared" si="1"/>
        <v>0</v>
      </c>
      <c r="I66" s="632"/>
      <c r="J66" s="631">
        <f t="shared" si="28"/>
        <v>0</v>
      </c>
      <c r="K66" s="633"/>
      <c r="L66" s="631">
        <f t="shared" si="3"/>
        <v>0</v>
      </c>
      <c r="M66" s="634"/>
      <c r="N66" s="700">
        <f t="shared" si="4"/>
        <v>0</v>
      </c>
      <c r="O66" s="635"/>
      <c r="P66" s="636">
        <f t="shared" si="5"/>
        <v>0</v>
      </c>
      <c r="Q66" s="634"/>
      <c r="R66" s="631">
        <f t="shared" si="6"/>
        <v>0</v>
      </c>
      <c r="S66" s="634"/>
      <c r="T66" s="631">
        <f t="shared" si="7"/>
        <v>0</v>
      </c>
      <c r="U66" s="634"/>
      <c r="V66" s="631">
        <f t="shared" si="8"/>
        <v>0</v>
      </c>
      <c r="W66" s="634"/>
      <c r="X66" s="631">
        <f t="shared" si="9"/>
        <v>0</v>
      </c>
      <c r="Y66" s="634"/>
      <c r="Z66" s="631">
        <f t="shared" si="10"/>
        <v>0</v>
      </c>
      <c r="AA66" s="637"/>
      <c r="AB66" s="631">
        <f t="shared" si="11"/>
        <v>0</v>
      </c>
      <c r="AC66" s="638">
        <f>'Commande Souvenirs, librairie'!E186</f>
        <v>3.45</v>
      </c>
      <c r="AD66" s="639">
        <f aca="true" t="shared" si="41" ref="AD66:AD67">(AC66*10)/100+AC66</f>
        <v>3.795</v>
      </c>
      <c r="AE66" s="833">
        <v>0.1</v>
      </c>
      <c r="AF66" s="641">
        <f t="shared" si="39"/>
        <v>0.40500000000000025</v>
      </c>
      <c r="AG66" s="642">
        <f t="shared" si="40"/>
        <v>0</v>
      </c>
      <c r="AH66" s="643">
        <f t="shared" si="15"/>
        <v>0</v>
      </c>
      <c r="AI66" s="644">
        <f t="shared" si="32"/>
        <v>0</v>
      </c>
      <c r="AJ66" s="645">
        <v>9</v>
      </c>
      <c r="AK66" s="646"/>
      <c r="AL66" s="647"/>
      <c r="AM66" s="648"/>
      <c r="AN66" s="649"/>
      <c r="AO66" s="650"/>
    </row>
    <row r="67" spans="1:41" ht="20.25">
      <c r="A67" s="830"/>
      <c r="B67" s="831"/>
      <c r="C67" s="834" t="s">
        <v>576</v>
      </c>
      <c r="D67" s="698">
        <v>16.5</v>
      </c>
      <c r="E67" s="699"/>
      <c r="F67" s="700">
        <f t="shared" si="0"/>
        <v>0</v>
      </c>
      <c r="G67" s="701"/>
      <c r="H67" s="700">
        <f t="shared" si="1"/>
        <v>0</v>
      </c>
      <c r="I67" s="701"/>
      <c r="J67" s="700">
        <f t="shared" si="28"/>
        <v>0</v>
      </c>
      <c r="K67" s="702"/>
      <c r="L67" s="700">
        <f t="shared" si="3"/>
        <v>0</v>
      </c>
      <c r="M67" s="703"/>
      <c r="N67" s="700">
        <v>0</v>
      </c>
      <c r="O67" s="704"/>
      <c r="P67" s="705">
        <f t="shared" si="5"/>
        <v>0</v>
      </c>
      <c r="Q67" s="703"/>
      <c r="R67" s="700">
        <f t="shared" si="6"/>
        <v>0</v>
      </c>
      <c r="S67" s="703"/>
      <c r="T67" s="700">
        <f t="shared" si="7"/>
        <v>0</v>
      </c>
      <c r="U67" s="703"/>
      <c r="V67" s="700">
        <f t="shared" si="8"/>
        <v>0</v>
      </c>
      <c r="W67" s="703"/>
      <c r="X67" s="700">
        <f t="shared" si="9"/>
        <v>0</v>
      </c>
      <c r="Y67" s="703"/>
      <c r="Z67" s="700">
        <f t="shared" si="10"/>
        <v>0</v>
      </c>
      <c r="AA67" s="706"/>
      <c r="AB67" s="700">
        <f t="shared" si="11"/>
        <v>0</v>
      </c>
      <c r="AC67" s="707">
        <f>'Commande Souvenirs, librairie'!E184</f>
        <v>11.14</v>
      </c>
      <c r="AD67" s="708">
        <f t="shared" si="41"/>
        <v>12.254000000000001</v>
      </c>
      <c r="AE67" s="833"/>
      <c r="AF67" s="709">
        <f t="shared" si="39"/>
        <v>4.245999999999999</v>
      </c>
      <c r="AG67" s="710">
        <f t="shared" si="40"/>
        <v>0</v>
      </c>
      <c r="AH67" s="711">
        <f t="shared" si="15"/>
        <v>0</v>
      </c>
      <c r="AI67" s="712">
        <f t="shared" si="32"/>
        <v>0</v>
      </c>
      <c r="AJ67" s="713">
        <v>2</v>
      </c>
      <c r="AK67" s="767"/>
      <c r="AL67" s="715"/>
      <c r="AM67" s="768"/>
      <c r="AN67" s="717"/>
      <c r="AO67" s="718"/>
    </row>
    <row r="68" spans="1:41" ht="20.25">
      <c r="A68" s="830"/>
      <c r="B68" s="835" t="s">
        <v>577</v>
      </c>
      <c r="C68" s="836" t="s">
        <v>578</v>
      </c>
      <c r="D68" s="837">
        <v>4.2</v>
      </c>
      <c r="E68" s="838"/>
      <c r="F68" s="750">
        <f t="shared" si="0"/>
        <v>0</v>
      </c>
      <c r="G68" s="839"/>
      <c r="H68" s="750">
        <f t="shared" si="1"/>
        <v>0</v>
      </c>
      <c r="I68" s="839"/>
      <c r="J68" s="750">
        <f t="shared" si="28"/>
        <v>0</v>
      </c>
      <c r="K68" s="840"/>
      <c r="L68" s="750">
        <f t="shared" si="3"/>
        <v>0</v>
      </c>
      <c r="M68" s="153"/>
      <c r="N68" s="750"/>
      <c r="O68" s="841"/>
      <c r="P68" s="842">
        <f t="shared" si="5"/>
        <v>0</v>
      </c>
      <c r="Q68" s="153"/>
      <c r="R68" s="750">
        <f t="shared" si="6"/>
        <v>0</v>
      </c>
      <c r="S68" s="153"/>
      <c r="T68" s="750">
        <f t="shared" si="7"/>
        <v>0</v>
      </c>
      <c r="U68" s="153"/>
      <c r="V68" s="750">
        <f t="shared" si="8"/>
        <v>0</v>
      </c>
      <c r="W68" s="153"/>
      <c r="X68" s="750">
        <f t="shared" si="9"/>
        <v>0</v>
      </c>
      <c r="Y68" s="153"/>
      <c r="Z68" s="750">
        <f t="shared" si="10"/>
        <v>0</v>
      </c>
      <c r="AA68" s="843"/>
      <c r="AB68" s="750">
        <f t="shared" si="11"/>
        <v>0</v>
      </c>
      <c r="AC68" s="844"/>
      <c r="AD68" s="845"/>
      <c r="AE68" s="846"/>
      <c r="AF68" s="751"/>
      <c r="AG68" s="752"/>
      <c r="AH68" s="847"/>
      <c r="AI68" s="848"/>
      <c r="AJ68" s="849"/>
      <c r="AK68" s="737"/>
      <c r="AL68" s="754"/>
      <c r="AM68" s="747"/>
      <c r="AN68" s="748"/>
      <c r="AO68" s="850"/>
    </row>
    <row r="69" spans="1:41" ht="20.25">
      <c r="A69" s="769"/>
      <c r="B69" s="851" t="s">
        <v>579</v>
      </c>
      <c r="C69" s="834" t="s">
        <v>580</v>
      </c>
      <c r="D69" s="698">
        <v>6</v>
      </c>
      <c r="E69" s="699"/>
      <c r="F69" s="700">
        <f t="shared" si="0"/>
        <v>0</v>
      </c>
      <c r="G69" s="701"/>
      <c r="H69" s="700">
        <f t="shared" si="1"/>
        <v>0</v>
      </c>
      <c r="I69" s="701"/>
      <c r="J69" s="700">
        <f t="shared" si="28"/>
        <v>0</v>
      </c>
      <c r="K69" s="702"/>
      <c r="L69" s="700">
        <f t="shared" si="3"/>
        <v>0</v>
      </c>
      <c r="M69" s="703"/>
      <c r="N69" s="700">
        <f aca="true" t="shared" si="42" ref="N69:N105">M69*D69</f>
        <v>0</v>
      </c>
      <c r="O69" s="704"/>
      <c r="P69" s="705">
        <f t="shared" si="5"/>
        <v>0</v>
      </c>
      <c r="Q69" s="703"/>
      <c r="R69" s="700">
        <f t="shared" si="6"/>
        <v>0</v>
      </c>
      <c r="S69" s="703"/>
      <c r="T69" s="700">
        <f t="shared" si="7"/>
        <v>0</v>
      </c>
      <c r="U69" s="703"/>
      <c r="V69" s="700">
        <f t="shared" si="8"/>
        <v>0</v>
      </c>
      <c r="W69" s="703"/>
      <c r="X69" s="700">
        <f t="shared" si="9"/>
        <v>0</v>
      </c>
      <c r="Y69" s="703"/>
      <c r="Z69" s="700">
        <f t="shared" si="10"/>
        <v>0</v>
      </c>
      <c r="AA69" s="706"/>
      <c r="AB69" s="700">
        <f t="shared" si="11"/>
        <v>0</v>
      </c>
      <c r="AC69" s="707">
        <v>1.5</v>
      </c>
      <c r="AD69" s="708"/>
      <c r="AE69" s="708"/>
      <c r="AF69" s="709">
        <f aca="true" t="shared" si="43" ref="AF69:AF92">D69-AD69</f>
        <v>6</v>
      </c>
      <c r="AG69" s="710">
        <f aca="true" t="shared" si="44" ref="AG69:AG92">AF69*AI69</f>
        <v>0</v>
      </c>
      <c r="AH69" s="711">
        <f aca="true" t="shared" si="45" ref="AH69:AH92">AB69+Z69+X69+V69+T69+R69+P69+N69+L69+J69+H69+F69</f>
        <v>0</v>
      </c>
      <c r="AI69" s="712">
        <f aca="true" t="shared" si="46" ref="AI69:AI94">AA69+Y69+W69+U69+S69+Q69+O69+M69+K69+I69+G69+E69</f>
        <v>0</v>
      </c>
      <c r="AJ69" s="713">
        <v>7</v>
      </c>
      <c r="AK69" s="767"/>
      <c r="AL69" s="715"/>
      <c r="AM69" s="768"/>
      <c r="AN69" s="717"/>
      <c r="AO69" s="718"/>
    </row>
    <row r="70" spans="1:41" ht="20.25" customHeight="1">
      <c r="A70" s="821" t="s">
        <v>581</v>
      </c>
      <c r="B70" s="831" t="s">
        <v>582</v>
      </c>
      <c r="C70" s="852" t="s">
        <v>127</v>
      </c>
      <c r="D70" s="629">
        <v>3.7</v>
      </c>
      <c r="E70" s="630"/>
      <c r="F70" s="631">
        <f t="shared" si="0"/>
        <v>0</v>
      </c>
      <c r="G70" s="632"/>
      <c r="H70" s="631">
        <f t="shared" si="1"/>
        <v>0</v>
      </c>
      <c r="I70" s="632"/>
      <c r="J70" s="631">
        <f t="shared" si="28"/>
        <v>0</v>
      </c>
      <c r="K70" s="633"/>
      <c r="L70" s="631">
        <f t="shared" si="3"/>
        <v>0</v>
      </c>
      <c r="M70" s="634"/>
      <c r="N70" s="631">
        <f t="shared" si="42"/>
        <v>0</v>
      </c>
      <c r="O70" s="635"/>
      <c r="P70" s="636">
        <f t="shared" si="5"/>
        <v>0</v>
      </c>
      <c r="Q70" s="634"/>
      <c r="R70" s="631">
        <f t="shared" si="6"/>
        <v>0</v>
      </c>
      <c r="S70" s="634"/>
      <c r="T70" s="631">
        <f t="shared" si="7"/>
        <v>0</v>
      </c>
      <c r="U70" s="634"/>
      <c r="V70" s="631">
        <f t="shared" si="8"/>
        <v>0</v>
      </c>
      <c r="W70" s="634"/>
      <c r="X70" s="631">
        <f t="shared" si="9"/>
        <v>0</v>
      </c>
      <c r="Y70" s="634"/>
      <c r="Z70" s="631">
        <f t="shared" si="10"/>
        <v>0</v>
      </c>
      <c r="AA70" s="637"/>
      <c r="AB70" s="631">
        <f t="shared" si="11"/>
        <v>0</v>
      </c>
      <c r="AC70" s="638">
        <f>'Commande Alimentaire'!D62</f>
        <v>1.82</v>
      </c>
      <c r="AD70" s="639">
        <f aca="true" t="shared" si="47" ref="AD70:AD75">(AC70*20/100)+AC70</f>
        <v>2.184</v>
      </c>
      <c r="AE70" s="853">
        <v>0.2</v>
      </c>
      <c r="AF70" s="641">
        <f t="shared" si="43"/>
        <v>1.516</v>
      </c>
      <c r="AG70" s="642">
        <f t="shared" si="44"/>
        <v>0</v>
      </c>
      <c r="AH70" s="643">
        <f t="shared" si="45"/>
        <v>0</v>
      </c>
      <c r="AI70" s="644">
        <f t="shared" si="46"/>
        <v>0</v>
      </c>
      <c r="AJ70" s="645">
        <v>1</v>
      </c>
      <c r="AK70" s="646"/>
      <c r="AL70" s="647"/>
      <c r="AM70" s="648"/>
      <c r="AN70" s="649"/>
      <c r="AO70" s="650"/>
    </row>
    <row r="71" spans="1:41" ht="20.25">
      <c r="A71" s="821"/>
      <c r="B71" s="831"/>
      <c r="C71" s="854" t="s">
        <v>128</v>
      </c>
      <c r="D71" s="652">
        <v>3.7</v>
      </c>
      <c r="E71" s="653"/>
      <c r="F71" s="654">
        <f t="shared" si="0"/>
        <v>0</v>
      </c>
      <c r="G71" s="655"/>
      <c r="H71" s="654">
        <f t="shared" si="1"/>
        <v>0</v>
      </c>
      <c r="I71" s="655"/>
      <c r="J71" s="654">
        <f t="shared" si="28"/>
        <v>0</v>
      </c>
      <c r="K71" s="656"/>
      <c r="L71" s="654">
        <f t="shared" si="3"/>
        <v>0</v>
      </c>
      <c r="M71" s="68"/>
      <c r="N71" s="654">
        <f t="shared" si="42"/>
        <v>0</v>
      </c>
      <c r="O71" s="657"/>
      <c r="P71" s="658">
        <f t="shared" si="5"/>
        <v>0</v>
      </c>
      <c r="Q71" s="68"/>
      <c r="R71" s="654">
        <f t="shared" si="6"/>
        <v>0</v>
      </c>
      <c r="S71" s="68"/>
      <c r="T71" s="654">
        <f t="shared" si="7"/>
        <v>0</v>
      </c>
      <c r="U71" s="68"/>
      <c r="V71" s="654">
        <f t="shared" si="8"/>
        <v>0</v>
      </c>
      <c r="W71" s="68"/>
      <c r="X71" s="654">
        <f t="shared" si="9"/>
        <v>0</v>
      </c>
      <c r="Y71" s="68"/>
      <c r="Z71" s="654">
        <f t="shared" si="10"/>
        <v>0</v>
      </c>
      <c r="AA71" s="659"/>
      <c r="AB71" s="654">
        <f t="shared" si="11"/>
        <v>0</v>
      </c>
      <c r="AC71" s="660">
        <f>'Commande Alimentaire'!D63</f>
        <v>1.82</v>
      </c>
      <c r="AD71" s="661">
        <f t="shared" si="47"/>
        <v>2.184</v>
      </c>
      <c r="AE71" s="853"/>
      <c r="AF71" s="662">
        <f t="shared" si="43"/>
        <v>1.516</v>
      </c>
      <c r="AG71" s="663">
        <f t="shared" si="44"/>
        <v>0</v>
      </c>
      <c r="AH71" s="664">
        <f t="shared" si="45"/>
        <v>0</v>
      </c>
      <c r="AI71" s="665">
        <f t="shared" si="46"/>
        <v>0</v>
      </c>
      <c r="AJ71" s="666">
        <v>2</v>
      </c>
      <c r="AK71" s="667"/>
      <c r="AL71" s="668"/>
      <c r="AM71" s="669"/>
      <c r="AN71" s="670"/>
      <c r="AO71" s="671"/>
    </row>
    <row r="72" spans="1:41" ht="20.25">
      <c r="A72" s="821"/>
      <c r="B72" s="831"/>
      <c r="C72" s="854" t="s">
        <v>129</v>
      </c>
      <c r="D72" s="652">
        <v>3.7</v>
      </c>
      <c r="E72" s="653"/>
      <c r="F72" s="654">
        <f t="shared" si="0"/>
        <v>0</v>
      </c>
      <c r="G72" s="655"/>
      <c r="H72" s="654">
        <f t="shared" si="1"/>
        <v>0</v>
      </c>
      <c r="I72" s="655"/>
      <c r="J72" s="654">
        <f t="shared" si="28"/>
        <v>0</v>
      </c>
      <c r="K72" s="656"/>
      <c r="L72" s="654">
        <f t="shared" si="3"/>
        <v>0</v>
      </c>
      <c r="M72" s="68"/>
      <c r="N72" s="654">
        <f t="shared" si="42"/>
        <v>0</v>
      </c>
      <c r="O72" s="657"/>
      <c r="P72" s="658">
        <f t="shared" si="5"/>
        <v>0</v>
      </c>
      <c r="Q72" s="68"/>
      <c r="R72" s="654">
        <f t="shared" si="6"/>
        <v>0</v>
      </c>
      <c r="S72" s="68"/>
      <c r="T72" s="654">
        <f t="shared" si="7"/>
        <v>0</v>
      </c>
      <c r="U72" s="68"/>
      <c r="V72" s="654">
        <f t="shared" si="8"/>
        <v>0</v>
      </c>
      <c r="W72" s="68"/>
      <c r="X72" s="654">
        <f t="shared" si="9"/>
        <v>0</v>
      </c>
      <c r="Y72" s="68"/>
      <c r="Z72" s="654">
        <f t="shared" si="10"/>
        <v>0</v>
      </c>
      <c r="AA72" s="659"/>
      <c r="AB72" s="654">
        <f t="shared" si="11"/>
        <v>0</v>
      </c>
      <c r="AC72" s="660">
        <f>'Commande Alimentaire'!D64</f>
        <v>1.95</v>
      </c>
      <c r="AD72" s="661">
        <f t="shared" si="47"/>
        <v>2.34</v>
      </c>
      <c r="AE72" s="853"/>
      <c r="AF72" s="662">
        <f t="shared" si="43"/>
        <v>1.3600000000000003</v>
      </c>
      <c r="AG72" s="663">
        <f t="shared" si="44"/>
        <v>0</v>
      </c>
      <c r="AH72" s="664">
        <f t="shared" si="45"/>
        <v>0</v>
      </c>
      <c r="AI72" s="665">
        <f t="shared" si="46"/>
        <v>0</v>
      </c>
      <c r="AJ72" s="666">
        <v>2</v>
      </c>
      <c r="AK72" s="667"/>
      <c r="AL72" s="668"/>
      <c r="AM72" s="669"/>
      <c r="AN72" s="670"/>
      <c r="AO72" s="671"/>
    </row>
    <row r="73" spans="1:41" ht="20.25">
      <c r="A73" s="821"/>
      <c r="B73" s="831"/>
      <c r="C73" s="854" t="s">
        <v>130</v>
      </c>
      <c r="D73" s="652">
        <v>3.7</v>
      </c>
      <c r="E73" s="653"/>
      <c r="F73" s="654">
        <f t="shared" si="0"/>
        <v>0</v>
      </c>
      <c r="G73" s="655"/>
      <c r="H73" s="654">
        <f t="shared" si="1"/>
        <v>0</v>
      </c>
      <c r="I73" s="655"/>
      <c r="J73" s="654">
        <f t="shared" si="28"/>
        <v>0</v>
      </c>
      <c r="K73" s="656"/>
      <c r="L73" s="654">
        <f t="shared" si="3"/>
        <v>0</v>
      </c>
      <c r="M73" s="68"/>
      <c r="N73" s="654">
        <f t="shared" si="42"/>
        <v>0</v>
      </c>
      <c r="O73" s="657"/>
      <c r="P73" s="658">
        <f t="shared" si="5"/>
        <v>0</v>
      </c>
      <c r="Q73" s="68"/>
      <c r="R73" s="654">
        <f t="shared" si="6"/>
        <v>0</v>
      </c>
      <c r="S73" s="68"/>
      <c r="T73" s="654">
        <f t="shared" si="7"/>
        <v>0</v>
      </c>
      <c r="U73" s="68"/>
      <c r="V73" s="654">
        <f t="shared" si="8"/>
        <v>0</v>
      </c>
      <c r="W73" s="68"/>
      <c r="X73" s="654">
        <f t="shared" si="9"/>
        <v>0</v>
      </c>
      <c r="Y73" s="68"/>
      <c r="Z73" s="654">
        <f t="shared" si="10"/>
        <v>0</v>
      </c>
      <c r="AA73" s="659"/>
      <c r="AB73" s="654">
        <f t="shared" si="11"/>
        <v>0</v>
      </c>
      <c r="AC73" s="660">
        <f>'Commande Alimentaire'!D65</f>
        <v>1.85</v>
      </c>
      <c r="AD73" s="661">
        <f t="shared" si="47"/>
        <v>2.22</v>
      </c>
      <c r="AE73" s="853"/>
      <c r="AF73" s="662">
        <f t="shared" si="43"/>
        <v>1.48</v>
      </c>
      <c r="AG73" s="663">
        <f t="shared" si="44"/>
        <v>0</v>
      </c>
      <c r="AH73" s="664">
        <f t="shared" si="45"/>
        <v>0</v>
      </c>
      <c r="AI73" s="665">
        <f t="shared" si="46"/>
        <v>0</v>
      </c>
      <c r="AJ73" s="666">
        <v>2</v>
      </c>
      <c r="AK73" s="667"/>
      <c r="AL73" s="668"/>
      <c r="AM73" s="669"/>
      <c r="AN73" s="670"/>
      <c r="AO73" s="671"/>
    </row>
    <row r="74" spans="1:41" ht="20.25">
      <c r="A74" s="821"/>
      <c r="B74" s="831"/>
      <c r="C74" s="854" t="s">
        <v>132</v>
      </c>
      <c r="D74" s="652">
        <v>3.7</v>
      </c>
      <c r="E74" s="653"/>
      <c r="F74" s="654">
        <f t="shared" si="0"/>
        <v>0</v>
      </c>
      <c r="G74" s="655"/>
      <c r="H74" s="654">
        <f t="shared" si="1"/>
        <v>0</v>
      </c>
      <c r="I74" s="655"/>
      <c r="J74" s="654">
        <f t="shared" si="28"/>
        <v>0</v>
      </c>
      <c r="K74" s="656"/>
      <c r="L74" s="654">
        <f t="shared" si="3"/>
        <v>0</v>
      </c>
      <c r="M74" s="68"/>
      <c r="N74" s="654">
        <f t="shared" si="42"/>
        <v>0</v>
      </c>
      <c r="O74" s="657"/>
      <c r="P74" s="658">
        <f t="shared" si="5"/>
        <v>0</v>
      </c>
      <c r="Q74" s="68"/>
      <c r="R74" s="654">
        <f t="shared" si="6"/>
        <v>0</v>
      </c>
      <c r="S74" s="68"/>
      <c r="T74" s="654">
        <f t="shared" si="7"/>
        <v>0</v>
      </c>
      <c r="U74" s="68"/>
      <c r="V74" s="654">
        <f t="shared" si="8"/>
        <v>0</v>
      </c>
      <c r="W74" s="68"/>
      <c r="X74" s="654">
        <f t="shared" si="9"/>
        <v>0</v>
      </c>
      <c r="Y74" s="68"/>
      <c r="Z74" s="654">
        <f t="shared" si="10"/>
        <v>0</v>
      </c>
      <c r="AA74" s="659"/>
      <c r="AB74" s="654">
        <f t="shared" si="11"/>
        <v>0</v>
      </c>
      <c r="AC74" s="660">
        <f>'Commande Alimentaire'!D66</f>
        <v>1.82</v>
      </c>
      <c r="AD74" s="661">
        <f t="shared" si="47"/>
        <v>2.184</v>
      </c>
      <c r="AE74" s="853"/>
      <c r="AF74" s="662">
        <f t="shared" si="43"/>
        <v>1.516</v>
      </c>
      <c r="AG74" s="663">
        <f t="shared" si="44"/>
        <v>0</v>
      </c>
      <c r="AH74" s="664">
        <f t="shared" si="45"/>
        <v>0</v>
      </c>
      <c r="AI74" s="665">
        <f t="shared" si="46"/>
        <v>0</v>
      </c>
      <c r="AJ74" s="666">
        <v>1</v>
      </c>
      <c r="AK74" s="667"/>
      <c r="AL74" s="668"/>
      <c r="AM74" s="669"/>
      <c r="AN74" s="670"/>
      <c r="AO74" s="671"/>
    </row>
    <row r="75" spans="1:41" ht="20.25">
      <c r="A75" s="821"/>
      <c r="B75" s="831"/>
      <c r="C75" s="854" t="s">
        <v>135</v>
      </c>
      <c r="D75" s="652">
        <v>25</v>
      </c>
      <c r="E75" s="653"/>
      <c r="F75" s="654">
        <f t="shared" si="0"/>
        <v>0</v>
      </c>
      <c r="G75" s="655"/>
      <c r="H75" s="654">
        <f t="shared" si="1"/>
        <v>0</v>
      </c>
      <c r="I75" s="655"/>
      <c r="J75" s="654">
        <f t="shared" si="28"/>
        <v>0</v>
      </c>
      <c r="K75" s="656"/>
      <c r="L75" s="654">
        <f t="shared" si="3"/>
        <v>0</v>
      </c>
      <c r="M75" s="68"/>
      <c r="N75" s="654">
        <f t="shared" si="42"/>
        <v>0</v>
      </c>
      <c r="O75" s="657"/>
      <c r="P75" s="658">
        <f t="shared" si="5"/>
        <v>0</v>
      </c>
      <c r="Q75" s="68"/>
      <c r="R75" s="654">
        <f t="shared" si="6"/>
        <v>0</v>
      </c>
      <c r="S75" s="68"/>
      <c r="T75" s="654">
        <f t="shared" si="7"/>
        <v>0</v>
      </c>
      <c r="U75" s="68"/>
      <c r="V75" s="654">
        <f t="shared" si="8"/>
        <v>0</v>
      </c>
      <c r="W75" s="68"/>
      <c r="X75" s="654">
        <f t="shared" si="9"/>
        <v>0</v>
      </c>
      <c r="Y75" s="68"/>
      <c r="Z75" s="654">
        <f t="shared" si="10"/>
        <v>0</v>
      </c>
      <c r="AA75" s="659"/>
      <c r="AB75" s="654">
        <f t="shared" si="11"/>
        <v>0</v>
      </c>
      <c r="AC75" s="660">
        <f>'Commande Alimentaire'!D69</f>
        <v>13.9</v>
      </c>
      <c r="AD75" s="661">
        <f t="shared" si="47"/>
        <v>16.68</v>
      </c>
      <c r="AE75" s="853"/>
      <c r="AF75" s="662">
        <f t="shared" si="43"/>
        <v>8.32</v>
      </c>
      <c r="AG75" s="663">
        <f t="shared" si="44"/>
        <v>0</v>
      </c>
      <c r="AH75" s="664">
        <f t="shared" si="45"/>
        <v>0</v>
      </c>
      <c r="AI75" s="665">
        <f t="shared" si="46"/>
        <v>0</v>
      </c>
      <c r="AJ75" s="666">
        <v>0</v>
      </c>
      <c r="AK75" s="667"/>
      <c r="AL75" s="668"/>
      <c r="AM75" s="669"/>
      <c r="AN75" s="670"/>
      <c r="AO75" s="671"/>
    </row>
    <row r="76" spans="1:41" ht="20.25">
      <c r="A76" s="821"/>
      <c r="B76" s="831"/>
      <c r="C76" s="854" t="s">
        <v>137</v>
      </c>
      <c r="D76" s="652">
        <v>7.2</v>
      </c>
      <c r="E76" s="653"/>
      <c r="F76" s="654">
        <f t="shared" si="0"/>
        <v>0</v>
      </c>
      <c r="G76" s="655"/>
      <c r="H76" s="654">
        <f t="shared" si="1"/>
        <v>0</v>
      </c>
      <c r="I76" s="655"/>
      <c r="J76" s="654">
        <f t="shared" si="28"/>
        <v>0</v>
      </c>
      <c r="K76" s="656"/>
      <c r="L76" s="654">
        <f t="shared" si="3"/>
        <v>0</v>
      </c>
      <c r="M76" s="68"/>
      <c r="N76" s="654">
        <f t="shared" si="42"/>
        <v>0</v>
      </c>
      <c r="O76" s="657"/>
      <c r="P76" s="658">
        <f t="shared" si="5"/>
        <v>0</v>
      </c>
      <c r="Q76" s="68"/>
      <c r="R76" s="654">
        <f t="shared" si="6"/>
        <v>0</v>
      </c>
      <c r="S76" s="68"/>
      <c r="T76" s="654">
        <f t="shared" si="7"/>
        <v>0</v>
      </c>
      <c r="U76" s="68"/>
      <c r="V76" s="654">
        <f t="shared" si="8"/>
        <v>0</v>
      </c>
      <c r="W76" s="68"/>
      <c r="X76" s="654">
        <f t="shared" si="9"/>
        <v>0</v>
      </c>
      <c r="Y76" s="68"/>
      <c r="Z76" s="654">
        <f t="shared" si="10"/>
        <v>0</v>
      </c>
      <c r="AA76" s="659"/>
      <c r="AB76" s="654">
        <f t="shared" si="11"/>
        <v>0</v>
      </c>
      <c r="AC76" s="660">
        <f>'Commande Alimentaire'!D70</f>
        <v>2.9</v>
      </c>
      <c r="AD76" s="661">
        <f>(AC76*5.5)/100+AC76</f>
        <v>3.0595</v>
      </c>
      <c r="AE76" s="855">
        <v>0.055</v>
      </c>
      <c r="AF76" s="662">
        <f t="shared" si="43"/>
        <v>4.1405</v>
      </c>
      <c r="AG76" s="663">
        <f t="shared" si="44"/>
        <v>0</v>
      </c>
      <c r="AH76" s="664">
        <f t="shared" si="45"/>
        <v>0</v>
      </c>
      <c r="AI76" s="665">
        <f t="shared" si="46"/>
        <v>0</v>
      </c>
      <c r="AJ76" s="666">
        <v>1</v>
      </c>
      <c r="AK76" s="667"/>
      <c r="AL76" s="668"/>
      <c r="AM76" s="669"/>
      <c r="AN76" s="670"/>
      <c r="AO76" s="671"/>
    </row>
    <row r="77" spans="1:41" ht="21">
      <c r="A77" s="821"/>
      <c r="B77" s="831"/>
      <c r="C77" s="856" t="s">
        <v>583</v>
      </c>
      <c r="D77" s="698">
        <v>5.2</v>
      </c>
      <c r="E77" s="699"/>
      <c r="F77" s="700">
        <f t="shared" si="0"/>
        <v>0</v>
      </c>
      <c r="G77" s="701"/>
      <c r="H77" s="700">
        <f t="shared" si="1"/>
        <v>0</v>
      </c>
      <c r="I77" s="701"/>
      <c r="J77" s="700">
        <f t="shared" si="28"/>
        <v>0</v>
      </c>
      <c r="K77" s="702"/>
      <c r="L77" s="700">
        <f t="shared" si="3"/>
        <v>0</v>
      </c>
      <c r="M77" s="703"/>
      <c r="N77" s="700">
        <f t="shared" si="42"/>
        <v>0</v>
      </c>
      <c r="O77" s="704"/>
      <c r="P77" s="705">
        <f t="shared" si="5"/>
        <v>0</v>
      </c>
      <c r="Q77" s="703"/>
      <c r="R77" s="700">
        <f t="shared" si="6"/>
        <v>0</v>
      </c>
      <c r="S77" s="703"/>
      <c r="T77" s="700">
        <f t="shared" si="7"/>
        <v>0</v>
      </c>
      <c r="U77" s="703"/>
      <c r="V77" s="700">
        <f t="shared" si="8"/>
        <v>0</v>
      </c>
      <c r="W77" s="703"/>
      <c r="X77" s="700">
        <f t="shared" si="9"/>
        <v>0</v>
      </c>
      <c r="Y77" s="703"/>
      <c r="Z77" s="700">
        <f t="shared" si="10"/>
        <v>0</v>
      </c>
      <c r="AA77" s="706"/>
      <c r="AB77" s="700">
        <f t="shared" si="11"/>
        <v>0</v>
      </c>
      <c r="AC77" s="707">
        <f>'Commande Alimentaire'!D71</f>
        <v>2.8</v>
      </c>
      <c r="AD77" s="708">
        <f>(AC77*20)/100+AC77</f>
        <v>3.36</v>
      </c>
      <c r="AE77" s="708">
        <v>0.2</v>
      </c>
      <c r="AF77" s="709">
        <f t="shared" si="43"/>
        <v>1.8400000000000003</v>
      </c>
      <c r="AG77" s="710">
        <f t="shared" si="44"/>
        <v>0</v>
      </c>
      <c r="AH77" s="711">
        <f t="shared" si="45"/>
        <v>0</v>
      </c>
      <c r="AI77" s="712">
        <f t="shared" si="46"/>
        <v>0</v>
      </c>
      <c r="AJ77" s="713">
        <v>2</v>
      </c>
      <c r="AK77" s="767"/>
      <c r="AL77" s="715"/>
      <c r="AM77" s="768"/>
      <c r="AN77" s="717"/>
      <c r="AO77" s="718"/>
    </row>
    <row r="78" spans="1:41" ht="20.25" customHeight="1">
      <c r="A78" s="821" t="s">
        <v>584</v>
      </c>
      <c r="B78" s="831" t="s">
        <v>462</v>
      </c>
      <c r="C78" s="628" t="s">
        <v>585</v>
      </c>
      <c r="D78" s="629">
        <v>1</v>
      </c>
      <c r="E78" s="857"/>
      <c r="F78" s="631">
        <f t="shared" si="0"/>
        <v>0</v>
      </c>
      <c r="G78" s="858"/>
      <c r="H78" s="631">
        <f t="shared" si="1"/>
        <v>0</v>
      </c>
      <c r="I78" s="858"/>
      <c r="J78" s="631">
        <f t="shared" si="28"/>
        <v>0</v>
      </c>
      <c r="K78" s="859"/>
      <c r="L78" s="631">
        <f t="shared" si="3"/>
        <v>0</v>
      </c>
      <c r="M78" s="634"/>
      <c r="N78" s="631">
        <f t="shared" si="42"/>
        <v>0</v>
      </c>
      <c r="O78" s="635"/>
      <c r="P78" s="636">
        <f t="shared" si="5"/>
        <v>0</v>
      </c>
      <c r="Q78" s="634"/>
      <c r="R78" s="631">
        <f t="shared" si="6"/>
        <v>0</v>
      </c>
      <c r="S78" s="634"/>
      <c r="T78" s="631">
        <f t="shared" si="7"/>
        <v>0</v>
      </c>
      <c r="U78" s="634"/>
      <c r="V78" s="631">
        <f t="shared" si="8"/>
        <v>0</v>
      </c>
      <c r="W78" s="634"/>
      <c r="X78" s="631">
        <f t="shared" si="9"/>
        <v>0</v>
      </c>
      <c r="Y78" s="634"/>
      <c r="Z78" s="631">
        <f t="shared" si="10"/>
        <v>0</v>
      </c>
      <c r="AA78" s="637"/>
      <c r="AB78" s="631">
        <f t="shared" si="11"/>
        <v>0</v>
      </c>
      <c r="AC78" s="638">
        <f>'[1]Commande Souvenirs, librairie'!F136</f>
        <v>0.3</v>
      </c>
      <c r="AD78" s="639"/>
      <c r="AE78" s="639"/>
      <c r="AF78" s="641">
        <f t="shared" si="43"/>
        <v>1</v>
      </c>
      <c r="AG78" s="642">
        <f t="shared" si="44"/>
        <v>0</v>
      </c>
      <c r="AH78" s="643">
        <f t="shared" si="45"/>
        <v>0</v>
      </c>
      <c r="AI78" s="644">
        <f t="shared" si="46"/>
        <v>0</v>
      </c>
      <c r="AJ78" s="645">
        <v>58</v>
      </c>
      <c r="AK78" s="646"/>
      <c r="AL78" s="647"/>
      <c r="AM78" s="648"/>
      <c r="AN78" s="649"/>
      <c r="AO78" s="650"/>
    </row>
    <row r="79" spans="1:41" ht="21">
      <c r="A79" s="821"/>
      <c r="B79" s="831"/>
      <c r="C79" s="697" t="s">
        <v>586</v>
      </c>
      <c r="D79" s="698">
        <v>0.5</v>
      </c>
      <c r="E79" s="860"/>
      <c r="F79" s="700">
        <f t="shared" si="0"/>
        <v>0</v>
      </c>
      <c r="G79" s="778"/>
      <c r="H79" s="700">
        <f t="shared" si="1"/>
        <v>0</v>
      </c>
      <c r="I79" s="778"/>
      <c r="J79" s="700">
        <f t="shared" si="28"/>
        <v>0</v>
      </c>
      <c r="K79" s="861"/>
      <c r="L79" s="700">
        <f t="shared" si="3"/>
        <v>0</v>
      </c>
      <c r="M79" s="703"/>
      <c r="N79" s="700">
        <f t="shared" si="42"/>
        <v>0</v>
      </c>
      <c r="O79" s="704"/>
      <c r="P79" s="705">
        <f t="shared" si="5"/>
        <v>0</v>
      </c>
      <c r="Q79" s="703"/>
      <c r="R79" s="700">
        <f t="shared" si="6"/>
        <v>0</v>
      </c>
      <c r="S79" s="703"/>
      <c r="T79" s="700">
        <f t="shared" si="7"/>
        <v>0</v>
      </c>
      <c r="U79" s="703"/>
      <c r="V79" s="700">
        <f t="shared" si="8"/>
        <v>0</v>
      </c>
      <c r="W79" s="703"/>
      <c r="X79" s="700">
        <f t="shared" si="9"/>
        <v>0</v>
      </c>
      <c r="Y79" s="703"/>
      <c r="Z79" s="700">
        <f t="shared" si="10"/>
        <v>0</v>
      </c>
      <c r="AA79" s="706"/>
      <c r="AB79" s="700">
        <f t="shared" si="11"/>
        <v>0</v>
      </c>
      <c r="AC79" s="707">
        <f>'[1]Commande Souvenirs, librairie'!F135</f>
        <v>0.12000000000000001</v>
      </c>
      <c r="AD79" s="708"/>
      <c r="AE79" s="708"/>
      <c r="AF79" s="709">
        <f t="shared" si="43"/>
        <v>0.5</v>
      </c>
      <c r="AG79" s="710">
        <f t="shared" si="44"/>
        <v>0</v>
      </c>
      <c r="AH79" s="711">
        <f t="shared" si="45"/>
        <v>0</v>
      </c>
      <c r="AI79" s="712">
        <f t="shared" si="46"/>
        <v>0</v>
      </c>
      <c r="AJ79" s="713">
        <v>20</v>
      </c>
      <c r="AK79" s="767"/>
      <c r="AL79" s="715"/>
      <c r="AM79" s="768"/>
      <c r="AN79" s="717"/>
      <c r="AO79" s="718"/>
    </row>
    <row r="80" spans="1:41" ht="20.25" customHeight="1">
      <c r="A80" s="821" t="s">
        <v>587</v>
      </c>
      <c r="B80" s="862" t="s">
        <v>588</v>
      </c>
      <c r="C80" s="628" t="s">
        <v>589</v>
      </c>
      <c r="D80" s="629">
        <v>29</v>
      </c>
      <c r="E80" s="630"/>
      <c r="F80" s="631">
        <f t="shared" si="0"/>
        <v>0</v>
      </c>
      <c r="G80" s="632"/>
      <c r="H80" s="631">
        <f t="shared" si="1"/>
        <v>0</v>
      </c>
      <c r="I80" s="858"/>
      <c r="J80" s="631">
        <f t="shared" si="28"/>
        <v>0</v>
      </c>
      <c r="K80" s="633"/>
      <c r="L80" s="631">
        <f t="shared" si="3"/>
        <v>0</v>
      </c>
      <c r="M80" s="634"/>
      <c r="N80" s="631">
        <f t="shared" si="42"/>
        <v>0</v>
      </c>
      <c r="O80" s="635"/>
      <c r="P80" s="636">
        <f t="shared" si="5"/>
        <v>0</v>
      </c>
      <c r="Q80" s="634"/>
      <c r="R80" s="631">
        <f t="shared" si="6"/>
        <v>0</v>
      </c>
      <c r="S80" s="634"/>
      <c r="T80" s="631">
        <f t="shared" si="7"/>
        <v>0</v>
      </c>
      <c r="U80" s="634"/>
      <c r="V80" s="631">
        <f t="shared" si="8"/>
        <v>0</v>
      </c>
      <c r="W80" s="634"/>
      <c r="X80" s="631">
        <f t="shared" si="9"/>
        <v>0</v>
      </c>
      <c r="Y80" s="634"/>
      <c r="Z80" s="631">
        <f t="shared" si="10"/>
        <v>0</v>
      </c>
      <c r="AA80" s="637"/>
      <c r="AB80" s="631">
        <f t="shared" si="11"/>
        <v>0</v>
      </c>
      <c r="AC80" s="638" t="s">
        <v>534</v>
      </c>
      <c r="AD80" s="639"/>
      <c r="AE80" s="639"/>
      <c r="AF80" s="641">
        <f t="shared" si="43"/>
        <v>29</v>
      </c>
      <c r="AG80" s="642">
        <f t="shared" si="44"/>
        <v>0</v>
      </c>
      <c r="AH80" s="643">
        <f t="shared" si="45"/>
        <v>0</v>
      </c>
      <c r="AI80" s="644">
        <f t="shared" si="46"/>
        <v>0</v>
      </c>
      <c r="AJ80" s="645">
        <v>4</v>
      </c>
      <c r="AK80" s="646"/>
      <c r="AL80" s="647"/>
      <c r="AM80" s="648"/>
      <c r="AN80" s="649"/>
      <c r="AO80" s="650"/>
    </row>
    <row r="81" spans="1:41" ht="20.25">
      <c r="A81" s="821"/>
      <c r="B81" s="862"/>
      <c r="C81" s="651" t="s">
        <v>389</v>
      </c>
      <c r="D81" s="652">
        <v>15</v>
      </c>
      <c r="E81" s="653"/>
      <c r="F81" s="654">
        <f t="shared" si="0"/>
        <v>0</v>
      </c>
      <c r="G81" s="655"/>
      <c r="H81" s="654">
        <f t="shared" si="1"/>
        <v>0</v>
      </c>
      <c r="I81" s="655"/>
      <c r="J81" s="654">
        <f t="shared" si="28"/>
        <v>0</v>
      </c>
      <c r="K81" s="656"/>
      <c r="L81" s="654">
        <f t="shared" si="3"/>
        <v>0</v>
      </c>
      <c r="M81" s="68"/>
      <c r="N81" s="654">
        <f t="shared" si="42"/>
        <v>0</v>
      </c>
      <c r="O81" s="657"/>
      <c r="P81" s="658">
        <f t="shared" si="5"/>
        <v>0</v>
      </c>
      <c r="Q81" s="68"/>
      <c r="R81" s="654">
        <f t="shared" si="6"/>
        <v>0</v>
      </c>
      <c r="S81" s="68"/>
      <c r="T81" s="654">
        <f t="shared" si="7"/>
        <v>0</v>
      </c>
      <c r="U81" s="68"/>
      <c r="V81" s="654">
        <f t="shared" si="8"/>
        <v>0</v>
      </c>
      <c r="W81" s="68"/>
      <c r="X81" s="654">
        <f t="shared" si="9"/>
        <v>0</v>
      </c>
      <c r="Y81" s="68"/>
      <c r="Z81" s="654">
        <f t="shared" si="10"/>
        <v>0</v>
      </c>
      <c r="AA81" s="659"/>
      <c r="AB81" s="654">
        <f t="shared" si="11"/>
        <v>0</v>
      </c>
      <c r="AC81" s="660" t="e">
        <f>'Commande Souvenirs, librairie'!#REF!</f>
        <v>#REF!</v>
      </c>
      <c r="AD81" s="661"/>
      <c r="AE81" s="661"/>
      <c r="AF81" s="662">
        <f t="shared" si="43"/>
        <v>15</v>
      </c>
      <c r="AG81" s="663">
        <f t="shared" si="44"/>
        <v>0</v>
      </c>
      <c r="AH81" s="664">
        <f t="shared" si="45"/>
        <v>0</v>
      </c>
      <c r="AI81" s="665">
        <f t="shared" si="46"/>
        <v>0</v>
      </c>
      <c r="AJ81" s="666">
        <v>3</v>
      </c>
      <c r="AK81" s="667"/>
      <c r="AL81" s="668"/>
      <c r="AM81" s="669"/>
      <c r="AN81" s="670"/>
      <c r="AO81" s="671"/>
    </row>
    <row r="82" spans="1:41" ht="21">
      <c r="A82" s="821"/>
      <c r="B82" s="863" t="s">
        <v>590</v>
      </c>
      <c r="C82" s="697" t="s">
        <v>383</v>
      </c>
      <c r="D82" s="698">
        <v>15</v>
      </c>
      <c r="E82" s="699"/>
      <c r="F82" s="700">
        <f t="shared" si="0"/>
        <v>0</v>
      </c>
      <c r="G82" s="701"/>
      <c r="H82" s="700">
        <f t="shared" si="1"/>
        <v>0</v>
      </c>
      <c r="I82" s="701"/>
      <c r="J82" s="700">
        <f t="shared" si="28"/>
        <v>0</v>
      </c>
      <c r="K82" s="702"/>
      <c r="L82" s="700">
        <f t="shared" si="3"/>
        <v>0</v>
      </c>
      <c r="M82" s="703"/>
      <c r="N82" s="700">
        <f t="shared" si="42"/>
        <v>0</v>
      </c>
      <c r="O82" s="704"/>
      <c r="P82" s="705">
        <f t="shared" si="5"/>
        <v>0</v>
      </c>
      <c r="Q82" s="703"/>
      <c r="R82" s="700">
        <f t="shared" si="6"/>
        <v>0</v>
      </c>
      <c r="S82" s="703"/>
      <c r="T82" s="700">
        <f t="shared" si="7"/>
        <v>0</v>
      </c>
      <c r="U82" s="703"/>
      <c r="V82" s="700">
        <f t="shared" si="8"/>
        <v>0</v>
      </c>
      <c r="W82" s="703"/>
      <c r="X82" s="700">
        <f t="shared" si="9"/>
        <v>0</v>
      </c>
      <c r="Y82" s="703"/>
      <c r="Z82" s="700">
        <f t="shared" si="10"/>
        <v>0</v>
      </c>
      <c r="AA82" s="706"/>
      <c r="AB82" s="700">
        <f t="shared" si="11"/>
        <v>0</v>
      </c>
      <c r="AC82" s="707" t="e">
        <f>'Commande Souvenirs, librairie'!#REF!</f>
        <v>#REF!</v>
      </c>
      <c r="AD82" s="708"/>
      <c r="AE82" s="708"/>
      <c r="AF82" s="709">
        <f t="shared" si="43"/>
        <v>15</v>
      </c>
      <c r="AG82" s="710">
        <f t="shared" si="44"/>
        <v>0</v>
      </c>
      <c r="AH82" s="711">
        <f t="shared" si="45"/>
        <v>0</v>
      </c>
      <c r="AI82" s="712">
        <f t="shared" si="46"/>
        <v>0</v>
      </c>
      <c r="AJ82" s="713">
        <v>0</v>
      </c>
      <c r="AK82" s="767"/>
      <c r="AL82" s="715"/>
      <c r="AM82" s="768"/>
      <c r="AN82" s="717"/>
      <c r="AO82" s="718"/>
    </row>
    <row r="83" spans="1:41" ht="21" customHeight="1" hidden="1">
      <c r="A83" s="821" t="s">
        <v>591</v>
      </c>
      <c r="B83" s="831" t="s">
        <v>592</v>
      </c>
      <c r="C83" s="628" t="s">
        <v>593</v>
      </c>
      <c r="D83" s="629">
        <v>100</v>
      </c>
      <c r="E83" s="857"/>
      <c r="F83" s="631">
        <f t="shared" si="0"/>
        <v>0</v>
      </c>
      <c r="G83" s="858"/>
      <c r="H83" s="631">
        <f t="shared" si="1"/>
        <v>0</v>
      </c>
      <c r="I83" s="858"/>
      <c r="J83" s="631">
        <f t="shared" si="28"/>
        <v>0</v>
      </c>
      <c r="K83" s="859"/>
      <c r="L83" s="631">
        <f t="shared" si="3"/>
        <v>0</v>
      </c>
      <c r="M83" s="634"/>
      <c r="N83" s="631">
        <f t="shared" si="42"/>
        <v>0</v>
      </c>
      <c r="O83" s="635"/>
      <c r="P83" s="636">
        <f t="shared" si="5"/>
        <v>0</v>
      </c>
      <c r="Q83" s="634"/>
      <c r="R83" s="631">
        <f t="shared" si="6"/>
        <v>0</v>
      </c>
      <c r="S83" s="634"/>
      <c r="T83" s="631">
        <f t="shared" si="7"/>
        <v>0</v>
      </c>
      <c r="U83" s="634"/>
      <c r="V83" s="631">
        <f t="shared" si="8"/>
        <v>0</v>
      </c>
      <c r="W83" s="634"/>
      <c r="X83" s="631">
        <f t="shared" si="9"/>
        <v>0</v>
      </c>
      <c r="Y83" s="634"/>
      <c r="Z83" s="631">
        <f t="shared" si="10"/>
        <v>0</v>
      </c>
      <c r="AA83" s="637"/>
      <c r="AB83" s="631">
        <f t="shared" si="11"/>
        <v>0</v>
      </c>
      <c r="AC83" s="864"/>
      <c r="AD83" s="865"/>
      <c r="AE83" s="865"/>
      <c r="AF83" s="641">
        <f t="shared" si="43"/>
        <v>100</v>
      </c>
      <c r="AG83" s="642">
        <f t="shared" si="44"/>
        <v>0</v>
      </c>
      <c r="AH83" s="643">
        <f t="shared" si="45"/>
        <v>0</v>
      </c>
      <c r="AI83" s="644">
        <f t="shared" si="46"/>
        <v>0</v>
      </c>
      <c r="AJ83" s="866"/>
      <c r="AK83" s="646"/>
      <c r="AL83" s="647"/>
      <c r="AM83" s="648"/>
      <c r="AN83" s="649"/>
      <c r="AO83" s="867"/>
    </row>
    <row r="84" spans="1:41" ht="21" hidden="1">
      <c r="A84" s="821"/>
      <c r="B84" s="831"/>
      <c r="C84" s="651" t="s">
        <v>594</v>
      </c>
      <c r="D84" s="652">
        <v>78</v>
      </c>
      <c r="E84" s="659"/>
      <c r="F84" s="654">
        <f t="shared" si="0"/>
        <v>0</v>
      </c>
      <c r="G84" s="68"/>
      <c r="H84" s="654">
        <f t="shared" si="1"/>
        <v>0</v>
      </c>
      <c r="I84" s="68"/>
      <c r="J84" s="654">
        <f t="shared" si="28"/>
        <v>0</v>
      </c>
      <c r="K84" s="802"/>
      <c r="L84" s="654">
        <f t="shared" si="3"/>
        <v>0</v>
      </c>
      <c r="M84" s="68"/>
      <c r="N84" s="654">
        <f t="shared" si="42"/>
        <v>0</v>
      </c>
      <c r="O84" s="657"/>
      <c r="P84" s="658">
        <f t="shared" si="5"/>
        <v>0</v>
      </c>
      <c r="Q84" s="68"/>
      <c r="R84" s="654">
        <f t="shared" si="6"/>
        <v>0</v>
      </c>
      <c r="S84" s="68"/>
      <c r="T84" s="654">
        <f t="shared" si="7"/>
        <v>0</v>
      </c>
      <c r="U84" s="68"/>
      <c r="V84" s="654">
        <f t="shared" si="8"/>
        <v>0</v>
      </c>
      <c r="W84" s="68"/>
      <c r="X84" s="654">
        <f t="shared" si="9"/>
        <v>0</v>
      </c>
      <c r="Y84" s="68"/>
      <c r="Z84" s="654">
        <f t="shared" si="10"/>
        <v>0</v>
      </c>
      <c r="AA84" s="659"/>
      <c r="AB84" s="654">
        <f t="shared" si="11"/>
        <v>0</v>
      </c>
      <c r="AC84" s="826"/>
      <c r="AD84" s="868"/>
      <c r="AE84" s="868"/>
      <c r="AF84" s="662">
        <f t="shared" si="43"/>
        <v>78</v>
      </c>
      <c r="AG84" s="663">
        <f t="shared" si="44"/>
        <v>0</v>
      </c>
      <c r="AH84" s="664">
        <f t="shared" si="45"/>
        <v>0</v>
      </c>
      <c r="AI84" s="665">
        <f t="shared" si="46"/>
        <v>0</v>
      </c>
      <c r="AJ84" s="827"/>
      <c r="AK84" s="667"/>
      <c r="AL84" s="668"/>
      <c r="AM84" s="669"/>
      <c r="AN84" s="670"/>
      <c r="AO84" s="828"/>
    </row>
    <row r="85" spans="1:41" ht="21" hidden="1">
      <c r="A85" s="821"/>
      <c r="B85" s="831"/>
      <c r="C85" s="651" t="s">
        <v>595</v>
      </c>
      <c r="D85" s="652">
        <v>21</v>
      </c>
      <c r="E85" s="659"/>
      <c r="F85" s="654">
        <f t="shared" si="0"/>
        <v>0</v>
      </c>
      <c r="G85" s="68"/>
      <c r="H85" s="654">
        <f t="shared" si="1"/>
        <v>0</v>
      </c>
      <c r="I85" s="68"/>
      <c r="J85" s="654">
        <f t="shared" si="28"/>
        <v>0</v>
      </c>
      <c r="K85" s="802"/>
      <c r="L85" s="654">
        <f t="shared" si="3"/>
        <v>0</v>
      </c>
      <c r="M85" s="68"/>
      <c r="N85" s="654">
        <f t="shared" si="42"/>
        <v>0</v>
      </c>
      <c r="O85" s="657"/>
      <c r="P85" s="658">
        <f t="shared" si="5"/>
        <v>0</v>
      </c>
      <c r="Q85" s="68"/>
      <c r="R85" s="654">
        <f t="shared" si="6"/>
        <v>0</v>
      </c>
      <c r="S85" s="68"/>
      <c r="T85" s="654">
        <f t="shared" si="7"/>
        <v>0</v>
      </c>
      <c r="U85" s="68"/>
      <c r="V85" s="654">
        <f t="shared" si="8"/>
        <v>0</v>
      </c>
      <c r="W85" s="68"/>
      <c r="X85" s="654">
        <f t="shared" si="9"/>
        <v>0</v>
      </c>
      <c r="Y85" s="68"/>
      <c r="Z85" s="654">
        <f t="shared" si="10"/>
        <v>0</v>
      </c>
      <c r="AA85" s="659"/>
      <c r="AB85" s="654">
        <f t="shared" si="11"/>
        <v>0</v>
      </c>
      <c r="AC85" s="826"/>
      <c r="AD85" s="868"/>
      <c r="AE85" s="868"/>
      <c r="AF85" s="662">
        <f t="shared" si="43"/>
        <v>21</v>
      </c>
      <c r="AG85" s="663">
        <f t="shared" si="44"/>
        <v>0</v>
      </c>
      <c r="AH85" s="664">
        <f t="shared" si="45"/>
        <v>0</v>
      </c>
      <c r="AI85" s="665">
        <f t="shared" si="46"/>
        <v>0</v>
      </c>
      <c r="AJ85" s="827"/>
      <c r="AK85" s="667"/>
      <c r="AL85" s="668"/>
      <c r="AM85" s="669"/>
      <c r="AN85" s="670"/>
      <c r="AO85" s="828"/>
    </row>
    <row r="86" spans="1:41" ht="21" hidden="1">
      <c r="A86" s="821"/>
      <c r="B86" s="831"/>
      <c r="C86" s="651" t="s">
        <v>596</v>
      </c>
      <c r="D86" s="652">
        <v>35</v>
      </c>
      <c r="E86" s="659"/>
      <c r="F86" s="654">
        <f t="shared" si="0"/>
        <v>0</v>
      </c>
      <c r="G86" s="68"/>
      <c r="H86" s="654">
        <f t="shared" si="1"/>
        <v>0</v>
      </c>
      <c r="I86" s="68"/>
      <c r="J86" s="654">
        <f t="shared" si="28"/>
        <v>0</v>
      </c>
      <c r="K86" s="802"/>
      <c r="L86" s="654">
        <f t="shared" si="3"/>
        <v>0</v>
      </c>
      <c r="M86" s="68"/>
      <c r="N86" s="654">
        <f t="shared" si="42"/>
        <v>0</v>
      </c>
      <c r="O86" s="657"/>
      <c r="P86" s="658">
        <f t="shared" si="5"/>
        <v>0</v>
      </c>
      <c r="Q86" s="68"/>
      <c r="R86" s="654">
        <f t="shared" si="6"/>
        <v>0</v>
      </c>
      <c r="S86" s="68"/>
      <c r="T86" s="654">
        <f t="shared" si="7"/>
        <v>0</v>
      </c>
      <c r="U86" s="68"/>
      <c r="V86" s="654">
        <f t="shared" si="8"/>
        <v>0</v>
      </c>
      <c r="W86" s="68"/>
      <c r="X86" s="654">
        <f t="shared" si="9"/>
        <v>0</v>
      </c>
      <c r="Y86" s="68"/>
      <c r="Z86" s="654">
        <f t="shared" si="10"/>
        <v>0</v>
      </c>
      <c r="AA86" s="659"/>
      <c r="AB86" s="654">
        <f t="shared" si="11"/>
        <v>0</v>
      </c>
      <c r="AC86" s="826"/>
      <c r="AD86" s="868"/>
      <c r="AE86" s="868"/>
      <c r="AF86" s="662">
        <f t="shared" si="43"/>
        <v>35</v>
      </c>
      <c r="AG86" s="663">
        <f t="shared" si="44"/>
        <v>0</v>
      </c>
      <c r="AH86" s="664">
        <f t="shared" si="45"/>
        <v>0</v>
      </c>
      <c r="AI86" s="665">
        <f t="shared" si="46"/>
        <v>0</v>
      </c>
      <c r="AJ86" s="827"/>
      <c r="AK86" s="667"/>
      <c r="AL86" s="668"/>
      <c r="AM86" s="669"/>
      <c r="AN86" s="670"/>
      <c r="AO86" s="828"/>
    </row>
    <row r="87" spans="1:41" ht="21" hidden="1">
      <c r="A87" s="821"/>
      <c r="B87" s="831"/>
      <c r="C87" s="651" t="s">
        <v>597</v>
      </c>
      <c r="D87" s="652">
        <v>6</v>
      </c>
      <c r="E87" s="659"/>
      <c r="F87" s="654">
        <f t="shared" si="0"/>
        <v>0</v>
      </c>
      <c r="G87" s="68"/>
      <c r="H87" s="654">
        <f t="shared" si="1"/>
        <v>0</v>
      </c>
      <c r="I87" s="68"/>
      <c r="J87" s="654">
        <f t="shared" si="28"/>
        <v>0</v>
      </c>
      <c r="K87" s="802"/>
      <c r="L87" s="654">
        <f t="shared" si="3"/>
        <v>0</v>
      </c>
      <c r="M87" s="68"/>
      <c r="N87" s="654">
        <f t="shared" si="42"/>
        <v>0</v>
      </c>
      <c r="O87" s="657"/>
      <c r="P87" s="658">
        <f t="shared" si="5"/>
        <v>0</v>
      </c>
      <c r="Q87" s="68"/>
      <c r="R87" s="654">
        <f t="shared" si="6"/>
        <v>0</v>
      </c>
      <c r="S87" s="68"/>
      <c r="T87" s="654">
        <f t="shared" si="7"/>
        <v>0</v>
      </c>
      <c r="U87" s="68"/>
      <c r="V87" s="654">
        <f t="shared" si="8"/>
        <v>0</v>
      </c>
      <c r="W87" s="68"/>
      <c r="X87" s="654">
        <f t="shared" si="9"/>
        <v>0</v>
      </c>
      <c r="Y87" s="68"/>
      <c r="Z87" s="654">
        <f t="shared" si="10"/>
        <v>0</v>
      </c>
      <c r="AA87" s="659"/>
      <c r="AB87" s="654">
        <f t="shared" si="11"/>
        <v>0</v>
      </c>
      <c r="AC87" s="826"/>
      <c r="AD87" s="868"/>
      <c r="AE87" s="868"/>
      <c r="AF87" s="662">
        <f t="shared" si="43"/>
        <v>6</v>
      </c>
      <c r="AG87" s="663">
        <f t="shared" si="44"/>
        <v>0</v>
      </c>
      <c r="AH87" s="664">
        <f t="shared" si="45"/>
        <v>0</v>
      </c>
      <c r="AI87" s="665">
        <f t="shared" si="46"/>
        <v>0</v>
      </c>
      <c r="AJ87" s="827"/>
      <c r="AK87" s="667"/>
      <c r="AL87" s="668"/>
      <c r="AM87" s="669"/>
      <c r="AN87" s="670"/>
      <c r="AO87" s="828"/>
    </row>
    <row r="88" spans="1:41" ht="21" hidden="1">
      <c r="A88" s="821"/>
      <c r="B88" s="831"/>
      <c r="C88" s="651" t="s">
        <v>598</v>
      </c>
      <c r="D88" s="652">
        <v>35</v>
      </c>
      <c r="E88" s="653"/>
      <c r="F88" s="654">
        <f t="shared" si="0"/>
        <v>0</v>
      </c>
      <c r="G88" s="655"/>
      <c r="H88" s="654">
        <f t="shared" si="1"/>
        <v>0</v>
      </c>
      <c r="I88" s="655"/>
      <c r="J88" s="654">
        <f t="shared" si="28"/>
        <v>0</v>
      </c>
      <c r="K88" s="656"/>
      <c r="L88" s="654"/>
      <c r="M88" s="68"/>
      <c r="N88" s="654">
        <f t="shared" si="42"/>
        <v>0</v>
      </c>
      <c r="O88" s="657"/>
      <c r="P88" s="658">
        <f t="shared" si="5"/>
        <v>0</v>
      </c>
      <c r="Q88" s="68"/>
      <c r="R88" s="654"/>
      <c r="S88" s="68"/>
      <c r="T88" s="654">
        <f t="shared" si="7"/>
        <v>0</v>
      </c>
      <c r="U88" s="68"/>
      <c r="V88" s="654">
        <f t="shared" si="8"/>
        <v>0</v>
      </c>
      <c r="W88" s="68"/>
      <c r="X88" s="654">
        <f t="shared" si="9"/>
        <v>0</v>
      </c>
      <c r="Y88" s="68"/>
      <c r="Z88" s="654">
        <f t="shared" si="10"/>
        <v>0</v>
      </c>
      <c r="AA88" s="659"/>
      <c r="AB88" s="654">
        <f t="shared" si="11"/>
        <v>0</v>
      </c>
      <c r="AC88" s="826"/>
      <c r="AD88" s="868"/>
      <c r="AE88" s="868"/>
      <c r="AF88" s="662">
        <f t="shared" si="43"/>
        <v>35</v>
      </c>
      <c r="AG88" s="663">
        <f t="shared" si="44"/>
        <v>0</v>
      </c>
      <c r="AH88" s="664">
        <f t="shared" si="45"/>
        <v>0</v>
      </c>
      <c r="AI88" s="665">
        <f t="shared" si="46"/>
        <v>0</v>
      </c>
      <c r="AJ88" s="827"/>
      <c r="AK88" s="667"/>
      <c r="AL88" s="668"/>
      <c r="AM88" s="669"/>
      <c r="AN88" s="670"/>
      <c r="AO88" s="828"/>
    </row>
    <row r="89" spans="1:41" ht="21" hidden="1">
      <c r="A89" s="821"/>
      <c r="B89" s="831"/>
      <c r="C89" s="651" t="s">
        <v>599</v>
      </c>
      <c r="D89" s="652">
        <v>33</v>
      </c>
      <c r="E89" s="653"/>
      <c r="F89" s="654">
        <f t="shared" si="0"/>
        <v>0</v>
      </c>
      <c r="G89" s="655"/>
      <c r="H89" s="654">
        <f t="shared" si="1"/>
        <v>0</v>
      </c>
      <c r="I89" s="655"/>
      <c r="J89" s="654">
        <f t="shared" si="28"/>
        <v>0</v>
      </c>
      <c r="K89" s="656"/>
      <c r="L89" s="654">
        <f aca="true" t="shared" si="48" ref="L89:L107">K89*D89</f>
        <v>0</v>
      </c>
      <c r="M89" s="68"/>
      <c r="N89" s="654">
        <f t="shared" si="42"/>
        <v>0</v>
      </c>
      <c r="O89" s="657"/>
      <c r="P89" s="658">
        <f t="shared" si="5"/>
        <v>0</v>
      </c>
      <c r="Q89" s="68"/>
      <c r="R89" s="654">
        <f aca="true" t="shared" si="49" ref="R89:R107">Q89*D89</f>
        <v>0</v>
      </c>
      <c r="S89" s="68"/>
      <c r="T89" s="654">
        <f t="shared" si="7"/>
        <v>0</v>
      </c>
      <c r="U89" s="68"/>
      <c r="V89" s="654">
        <f t="shared" si="8"/>
        <v>0</v>
      </c>
      <c r="W89" s="68"/>
      <c r="X89" s="654">
        <f t="shared" si="9"/>
        <v>0</v>
      </c>
      <c r="Y89" s="68"/>
      <c r="Z89" s="654">
        <f t="shared" si="10"/>
        <v>0</v>
      </c>
      <c r="AA89" s="659"/>
      <c r="AB89" s="654">
        <f t="shared" si="11"/>
        <v>0</v>
      </c>
      <c r="AC89" s="826"/>
      <c r="AD89" s="868"/>
      <c r="AE89" s="868"/>
      <c r="AF89" s="662">
        <f t="shared" si="43"/>
        <v>33</v>
      </c>
      <c r="AG89" s="663">
        <f t="shared" si="44"/>
        <v>0</v>
      </c>
      <c r="AH89" s="664">
        <f t="shared" si="45"/>
        <v>0</v>
      </c>
      <c r="AI89" s="665">
        <f t="shared" si="46"/>
        <v>0</v>
      </c>
      <c r="AJ89" s="827"/>
      <c r="AK89" s="667"/>
      <c r="AL89" s="668"/>
      <c r="AM89" s="669"/>
      <c r="AN89" s="670"/>
      <c r="AO89" s="828"/>
    </row>
    <row r="90" spans="1:41" ht="21" hidden="1">
      <c r="A90" s="821"/>
      <c r="B90" s="831"/>
      <c r="C90" s="697" t="s">
        <v>600</v>
      </c>
      <c r="D90" s="698">
        <v>13</v>
      </c>
      <c r="E90" s="699"/>
      <c r="F90" s="700">
        <f t="shared" si="0"/>
        <v>0</v>
      </c>
      <c r="G90" s="701"/>
      <c r="H90" s="700">
        <f t="shared" si="1"/>
        <v>0</v>
      </c>
      <c r="I90" s="701"/>
      <c r="J90" s="700">
        <f t="shared" si="28"/>
        <v>0</v>
      </c>
      <c r="K90" s="702"/>
      <c r="L90" s="700">
        <f t="shared" si="48"/>
        <v>0</v>
      </c>
      <c r="M90" s="703"/>
      <c r="N90" s="700">
        <f t="shared" si="42"/>
        <v>0</v>
      </c>
      <c r="O90" s="704"/>
      <c r="P90" s="705">
        <f t="shared" si="5"/>
        <v>0</v>
      </c>
      <c r="Q90" s="703"/>
      <c r="R90" s="700">
        <f t="shared" si="49"/>
        <v>0</v>
      </c>
      <c r="S90" s="703"/>
      <c r="T90" s="700">
        <f t="shared" si="7"/>
        <v>0</v>
      </c>
      <c r="U90" s="703"/>
      <c r="V90" s="700">
        <f t="shared" si="8"/>
        <v>0</v>
      </c>
      <c r="W90" s="703"/>
      <c r="X90" s="700">
        <f t="shared" si="9"/>
        <v>0</v>
      </c>
      <c r="Y90" s="703"/>
      <c r="Z90" s="700">
        <f t="shared" si="10"/>
        <v>0</v>
      </c>
      <c r="AA90" s="706"/>
      <c r="AB90" s="700">
        <f t="shared" si="11"/>
        <v>0</v>
      </c>
      <c r="AC90" s="869"/>
      <c r="AD90" s="870"/>
      <c r="AE90" s="870"/>
      <c r="AF90" s="709">
        <f t="shared" si="43"/>
        <v>13</v>
      </c>
      <c r="AG90" s="710">
        <f t="shared" si="44"/>
        <v>0</v>
      </c>
      <c r="AH90" s="711">
        <f t="shared" si="45"/>
        <v>0</v>
      </c>
      <c r="AI90" s="712">
        <f t="shared" si="46"/>
        <v>0</v>
      </c>
      <c r="AJ90" s="871"/>
      <c r="AK90" s="767"/>
      <c r="AL90" s="715"/>
      <c r="AM90" s="768"/>
      <c r="AN90" s="717"/>
      <c r="AO90" s="872"/>
    </row>
    <row r="91" spans="1:41" ht="32.25">
      <c r="A91" s="873" t="s">
        <v>601</v>
      </c>
      <c r="B91" s="874" t="s">
        <v>602</v>
      </c>
      <c r="C91" s="875" t="s">
        <v>603</v>
      </c>
      <c r="D91" s="876">
        <v>20</v>
      </c>
      <c r="E91" s="877"/>
      <c r="F91" s="878">
        <f t="shared" si="0"/>
        <v>0</v>
      </c>
      <c r="G91" s="879"/>
      <c r="H91" s="878">
        <f t="shared" si="1"/>
        <v>0</v>
      </c>
      <c r="I91" s="879"/>
      <c r="J91" s="878"/>
      <c r="K91" s="880"/>
      <c r="L91" s="878">
        <f t="shared" si="48"/>
        <v>0</v>
      </c>
      <c r="M91" s="881"/>
      <c r="N91" s="878">
        <f t="shared" si="42"/>
        <v>0</v>
      </c>
      <c r="O91" s="882"/>
      <c r="P91" s="883">
        <f t="shared" si="5"/>
        <v>0</v>
      </c>
      <c r="Q91" s="881"/>
      <c r="R91" s="878">
        <f t="shared" si="49"/>
        <v>0</v>
      </c>
      <c r="S91" s="881"/>
      <c r="T91" s="878">
        <f t="shared" si="7"/>
        <v>0</v>
      </c>
      <c r="U91" s="881"/>
      <c r="V91" s="878">
        <f t="shared" si="8"/>
        <v>0</v>
      </c>
      <c r="W91" s="881"/>
      <c r="X91" s="878">
        <f t="shared" si="9"/>
        <v>0</v>
      </c>
      <c r="Y91" s="881"/>
      <c r="Z91" s="878">
        <f t="shared" si="10"/>
        <v>0</v>
      </c>
      <c r="AA91" s="884"/>
      <c r="AB91" s="878">
        <f t="shared" si="11"/>
        <v>0</v>
      </c>
      <c r="AC91" s="885" t="s">
        <v>534</v>
      </c>
      <c r="AD91" s="886"/>
      <c r="AE91" s="886"/>
      <c r="AF91" s="887">
        <f t="shared" si="43"/>
        <v>20</v>
      </c>
      <c r="AG91" s="888">
        <f t="shared" si="44"/>
        <v>0</v>
      </c>
      <c r="AH91" s="889">
        <f t="shared" si="45"/>
        <v>0</v>
      </c>
      <c r="AI91" s="890">
        <f t="shared" si="46"/>
        <v>0</v>
      </c>
      <c r="AJ91" s="891">
        <v>0</v>
      </c>
      <c r="AK91" s="892"/>
      <c r="AL91" s="788"/>
      <c r="AM91" s="893"/>
      <c r="AN91" s="810"/>
      <c r="AO91" s="894"/>
    </row>
    <row r="92" spans="1:41" ht="21" customHeight="1">
      <c r="A92" s="895" t="s">
        <v>604</v>
      </c>
      <c r="B92" s="896" t="s">
        <v>221</v>
      </c>
      <c r="C92" s="897" t="s">
        <v>221</v>
      </c>
      <c r="D92" s="722">
        <v>7.9</v>
      </c>
      <c r="E92" s="723"/>
      <c r="F92" s="724">
        <f t="shared" si="0"/>
        <v>0</v>
      </c>
      <c r="G92" s="49">
        <v>1</v>
      </c>
      <c r="H92" s="724">
        <f t="shared" si="1"/>
        <v>7.9</v>
      </c>
      <c r="I92" s="725"/>
      <c r="J92" s="724">
        <f aca="true" t="shared" si="50" ref="J92:J96">I92*D92</f>
        <v>0</v>
      </c>
      <c r="K92" s="726"/>
      <c r="L92" s="724">
        <f t="shared" si="48"/>
        <v>0</v>
      </c>
      <c r="M92" s="49"/>
      <c r="N92" s="724">
        <f t="shared" si="42"/>
        <v>0</v>
      </c>
      <c r="O92" s="727"/>
      <c r="P92" s="728">
        <f t="shared" si="5"/>
        <v>0</v>
      </c>
      <c r="Q92" s="49"/>
      <c r="R92" s="724">
        <f t="shared" si="49"/>
        <v>0</v>
      </c>
      <c r="S92" s="49"/>
      <c r="T92" s="724">
        <f t="shared" si="7"/>
        <v>0</v>
      </c>
      <c r="U92" s="49"/>
      <c r="V92" s="750">
        <f t="shared" si="8"/>
        <v>0</v>
      </c>
      <c r="W92" s="49"/>
      <c r="X92" s="724">
        <f t="shared" si="9"/>
        <v>0</v>
      </c>
      <c r="Y92" s="49"/>
      <c r="Z92" s="724">
        <f t="shared" si="10"/>
        <v>0</v>
      </c>
      <c r="AA92" s="729"/>
      <c r="AB92" s="724">
        <f t="shared" si="11"/>
        <v>0</v>
      </c>
      <c r="AC92" s="730" t="e">
        <f>'Commande Souvenirs, librairie'!#REF!</f>
        <v>#REF!</v>
      </c>
      <c r="AD92" s="731" t="e">
        <f>(AC92*20)/100+AC92</f>
        <v>#REF!</v>
      </c>
      <c r="AE92" s="898">
        <v>0.2</v>
      </c>
      <c r="AF92" s="732" t="e">
        <f t="shared" si="43"/>
        <v>#REF!</v>
      </c>
      <c r="AG92" s="899" t="e">
        <f t="shared" si="44"/>
        <v>#REF!</v>
      </c>
      <c r="AH92" s="734">
        <f t="shared" si="45"/>
        <v>7.9</v>
      </c>
      <c r="AI92" s="735">
        <f t="shared" si="46"/>
        <v>1</v>
      </c>
      <c r="AJ92" s="736">
        <v>3</v>
      </c>
      <c r="AK92" s="737"/>
      <c r="AL92" s="754"/>
      <c r="AM92" s="747"/>
      <c r="AN92" s="748"/>
      <c r="AO92" s="741"/>
    </row>
    <row r="93" spans="1:41" ht="21.75">
      <c r="A93" s="895"/>
      <c r="B93" s="896"/>
      <c r="C93" s="897" t="s">
        <v>605</v>
      </c>
      <c r="D93" s="722">
        <v>10</v>
      </c>
      <c r="E93" s="723"/>
      <c r="F93" s="724">
        <f t="shared" si="0"/>
        <v>0</v>
      </c>
      <c r="G93" s="900"/>
      <c r="H93" s="724"/>
      <c r="I93" s="725"/>
      <c r="J93" s="724">
        <f t="shared" si="50"/>
        <v>0</v>
      </c>
      <c r="K93" s="726"/>
      <c r="L93" s="724">
        <f t="shared" si="48"/>
        <v>0</v>
      </c>
      <c r="M93" s="49"/>
      <c r="N93" s="724">
        <f t="shared" si="42"/>
        <v>0</v>
      </c>
      <c r="O93" s="727">
        <v>1</v>
      </c>
      <c r="P93" s="728">
        <f t="shared" si="5"/>
        <v>10</v>
      </c>
      <c r="Q93" s="49"/>
      <c r="R93" s="724">
        <f t="shared" si="49"/>
        <v>0</v>
      </c>
      <c r="S93" s="49"/>
      <c r="T93" s="724">
        <f t="shared" si="7"/>
        <v>0</v>
      </c>
      <c r="U93" s="49"/>
      <c r="V93" s="654">
        <f t="shared" si="8"/>
        <v>0</v>
      </c>
      <c r="W93" s="49"/>
      <c r="X93" s="724">
        <f t="shared" si="9"/>
        <v>0</v>
      </c>
      <c r="Y93" s="49"/>
      <c r="Z93" s="724">
        <f t="shared" si="10"/>
        <v>0</v>
      </c>
      <c r="AA93" s="729"/>
      <c r="AB93" s="724">
        <f t="shared" si="11"/>
        <v>0</v>
      </c>
      <c r="AC93" s="730"/>
      <c r="AD93" s="901"/>
      <c r="AE93" s="898"/>
      <c r="AF93" s="782"/>
      <c r="AG93" s="902"/>
      <c r="AH93" s="734"/>
      <c r="AI93" s="804">
        <f t="shared" si="46"/>
        <v>1</v>
      </c>
      <c r="AJ93" s="736">
        <v>4</v>
      </c>
      <c r="AK93" s="737"/>
      <c r="AL93" s="746"/>
      <c r="AM93" s="747"/>
      <c r="AN93" s="748"/>
      <c r="AO93" s="741"/>
    </row>
    <row r="94" spans="1:43" ht="21.75">
      <c r="A94" s="895"/>
      <c r="B94" s="896" t="s">
        <v>606</v>
      </c>
      <c r="C94" s="651" t="s">
        <v>607</v>
      </c>
      <c r="D94" s="652">
        <v>7.9</v>
      </c>
      <c r="E94" s="772"/>
      <c r="F94" s="654">
        <f t="shared" si="0"/>
        <v>0</v>
      </c>
      <c r="G94" s="761"/>
      <c r="H94" s="654">
        <f aca="true" t="shared" si="51" ref="H94:H107">G94*D94</f>
        <v>0</v>
      </c>
      <c r="I94" s="761"/>
      <c r="J94" s="654">
        <f t="shared" si="50"/>
        <v>0</v>
      </c>
      <c r="K94" s="773"/>
      <c r="L94" s="654">
        <f t="shared" si="48"/>
        <v>0</v>
      </c>
      <c r="M94" s="68"/>
      <c r="N94" s="654">
        <f t="shared" si="42"/>
        <v>0</v>
      </c>
      <c r="O94" s="657"/>
      <c r="P94" s="658">
        <f t="shared" si="5"/>
        <v>0</v>
      </c>
      <c r="Q94" s="68"/>
      <c r="R94" s="654">
        <f t="shared" si="49"/>
        <v>0</v>
      </c>
      <c r="S94" s="68"/>
      <c r="T94" s="654">
        <f t="shared" si="7"/>
        <v>0</v>
      </c>
      <c r="U94" s="68"/>
      <c r="V94" s="654">
        <f t="shared" si="8"/>
        <v>0</v>
      </c>
      <c r="W94" s="68"/>
      <c r="X94" s="654">
        <f t="shared" si="9"/>
        <v>0</v>
      </c>
      <c r="Y94" s="68"/>
      <c r="Z94" s="654">
        <f t="shared" si="10"/>
        <v>0</v>
      </c>
      <c r="AA94" s="659"/>
      <c r="AB94" s="654">
        <f t="shared" si="11"/>
        <v>0</v>
      </c>
      <c r="AC94" s="660" t="e">
        <f>'Commande Souvenirs, librairie'!#REF!</f>
        <v>#REF!</v>
      </c>
      <c r="AD94" s="901" t="e">
        <f>(AC94*20)/100+AC94</f>
        <v>#REF!</v>
      </c>
      <c r="AE94" s="898"/>
      <c r="AF94" s="782" t="e">
        <f>D94-AD94</f>
        <v>#REF!</v>
      </c>
      <c r="AG94" s="902" t="e">
        <f>AF94*AI94</f>
        <v>#REF!</v>
      </c>
      <c r="AH94" s="664">
        <f aca="true" t="shared" si="52" ref="AH94:AH96">AB94+Z94+X94+V94+T94+R94+P94+N94+L94+J94+H94+F94</f>
        <v>0</v>
      </c>
      <c r="AI94" s="804">
        <f t="shared" si="46"/>
        <v>0</v>
      </c>
      <c r="AJ94" s="805"/>
      <c r="AK94" s="737"/>
      <c r="AL94" s="746"/>
      <c r="AM94" s="747"/>
      <c r="AN94" s="748"/>
      <c r="AO94" s="806"/>
      <c r="AQ94" t="s">
        <v>608</v>
      </c>
    </row>
    <row r="95" spans="1:41" ht="21.75">
      <c r="A95" s="895"/>
      <c r="B95" s="896"/>
      <c r="C95" s="674" t="s">
        <v>609</v>
      </c>
      <c r="D95" s="675">
        <v>13.9</v>
      </c>
      <c r="E95" s="812"/>
      <c r="F95" s="677">
        <f t="shared" si="0"/>
        <v>0</v>
      </c>
      <c r="G95" s="813"/>
      <c r="H95" s="677">
        <f t="shared" si="51"/>
        <v>0</v>
      </c>
      <c r="I95" s="813"/>
      <c r="J95" s="677">
        <f t="shared" si="50"/>
        <v>0</v>
      </c>
      <c r="K95" s="814"/>
      <c r="L95" s="677">
        <f t="shared" si="48"/>
        <v>0</v>
      </c>
      <c r="M95" s="680"/>
      <c r="N95" s="677">
        <f t="shared" si="42"/>
        <v>0</v>
      </c>
      <c r="O95" s="681"/>
      <c r="P95" s="682">
        <f t="shared" si="5"/>
        <v>0</v>
      </c>
      <c r="Q95" s="680"/>
      <c r="R95" s="677">
        <f t="shared" si="49"/>
        <v>0</v>
      </c>
      <c r="S95" s="680"/>
      <c r="T95" s="677">
        <f t="shared" si="7"/>
        <v>0</v>
      </c>
      <c r="U95" s="680"/>
      <c r="V95" s="677">
        <f t="shared" si="8"/>
        <v>0</v>
      </c>
      <c r="W95" s="680"/>
      <c r="X95" s="677">
        <f t="shared" si="9"/>
        <v>0</v>
      </c>
      <c r="Y95" s="680"/>
      <c r="Z95" s="677">
        <f t="shared" si="10"/>
        <v>0</v>
      </c>
      <c r="AA95" s="683"/>
      <c r="AB95" s="677">
        <f t="shared" si="11"/>
        <v>0</v>
      </c>
      <c r="AC95" s="684"/>
      <c r="AD95" s="901"/>
      <c r="AE95" s="898"/>
      <c r="AF95" s="782"/>
      <c r="AG95" s="902"/>
      <c r="AH95" s="688">
        <f t="shared" si="52"/>
        <v>0</v>
      </c>
      <c r="AI95" s="804"/>
      <c r="AJ95" s="745"/>
      <c r="AK95" s="737"/>
      <c r="AL95" s="746"/>
      <c r="AM95" s="747"/>
      <c r="AN95" s="748"/>
      <c r="AO95" s="749"/>
    </row>
    <row r="96" spans="1:41" ht="21.75">
      <c r="A96" s="895"/>
      <c r="B96" s="896"/>
      <c r="C96" s="674" t="s">
        <v>610</v>
      </c>
      <c r="D96" s="675">
        <v>19.9</v>
      </c>
      <c r="E96" s="812"/>
      <c r="F96" s="677">
        <f t="shared" si="0"/>
        <v>0</v>
      </c>
      <c r="G96" s="813"/>
      <c r="H96" s="677">
        <f t="shared" si="51"/>
        <v>0</v>
      </c>
      <c r="I96" s="813"/>
      <c r="J96" s="677">
        <f t="shared" si="50"/>
        <v>0</v>
      </c>
      <c r="K96" s="814"/>
      <c r="L96" s="677">
        <f t="shared" si="48"/>
        <v>0</v>
      </c>
      <c r="M96" s="680"/>
      <c r="N96" s="677">
        <f t="shared" si="42"/>
        <v>0</v>
      </c>
      <c r="O96" s="681"/>
      <c r="P96" s="682">
        <f t="shared" si="5"/>
        <v>0</v>
      </c>
      <c r="Q96" s="680"/>
      <c r="R96" s="677">
        <f t="shared" si="49"/>
        <v>0</v>
      </c>
      <c r="S96" s="680"/>
      <c r="T96" s="677">
        <f t="shared" si="7"/>
        <v>0</v>
      </c>
      <c r="U96" s="680"/>
      <c r="V96" s="677">
        <f t="shared" si="8"/>
        <v>0</v>
      </c>
      <c r="W96" s="680"/>
      <c r="X96" s="677">
        <f t="shared" si="9"/>
        <v>0</v>
      </c>
      <c r="Y96" s="680"/>
      <c r="Z96" s="677">
        <f t="shared" si="10"/>
        <v>0</v>
      </c>
      <c r="AA96" s="683"/>
      <c r="AB96" s="677">
        <f t="shared" si="11"/>
        <v>0</v>
      </c>
      <c r="AC96" s="684"/>
      <c r="AD96" s="901"/>
      <c r="AE96" s="898"/>
      <c r="AF96" s="782"/>
      <c r="AG96" s="902"/>
      <c r="AH96" s="688">
        <f t="shared" si="52"/>
        <v>0</v>
      </c>
      <c r="AI96" s="804"/>
      <c r="AJ96" s="745"/>
      <c r="AK96" s="737"/>
      <c r="AL96" s="746"/>
      <c r="AM96" s="747"/>
      <c r="AN96" s="748"/>
      <c r="AO96" s="749"/>
    </row>
    <row r="97" spans="1:41" ht="21.75">
      <c r="A97" s="895"/>
      <c r="B97" s="903" t="s">
        <v>261</v>
      </c>
      <c r="C97" s="674" t="s">
        <v>611</v>
      </c>
      <c r="D97" s="675">
        <v>5</v>
      </c>
      <c r="E97" s="812"/>
      <c r="F97" s="677">
        <f t="shared" si="0"/>
        <v>0</v>
      </c>
      <c r="G97" s="813"/>
      <c r="H97" s="677">
        <f t="shared" si="51"/>
        <v>0</v>
      </c>
      <c r="I97" s="813"/>
      <c r="J97" s="677"/>
      <c r="K97" s="814"/>
      <c r="L97" s="677">
        <f t="shared" si="48"/>
        <v>0</v>
      </c>
      <c r="M97" s="680"/>
      <c r="N97" s="677">
        <f t="shared" si="42"/>
        <v>0</v>
      </c>
      <c r="O97" s="681"/>
      <c r="P97" s="682">
        <f t="shared" si="5"/>
        <v>0</v>
      </c>
      <c r="Q97" s="680"/>
      <c r="R97" s="677">
        <f t="shared" si="49"/>
        <v>0</v>
      </c>
      <c r="S97" s="680"/>
      <c r="T97" s="677">
        <f t="shared" si="7"/>
        <v>0</v>
      </c>
      <c r="U97" s="680"/>
      <c r="V97" s="677">
        <f t="shared" si="8"/>
        <v>0</v>
      </c>
      <c r="W97" s="680"/>
      <c r="X97" s="677">
        <f t="shared" si="9"/>
        <v>0</v>
      </c>
      <c r="Y97" s="680"/>
      <c r="Z97" s="677">
        <f t="shared" si="10"/>
        <v>0</v>
      </c>
      <c r="AA97" s="683"/>
      <c r="AB97" s="677">
        <f t="shared" si="11"/>
        <v>0</v>
      </c>
      <c r="AC97" s="684"/>
      <c r="AD97" s="901"/>
      <c r="AE97" s="898"/>
      <c r="AF97" s="782"/>
      <c r="AG97" s="902"/>
      <c r="AH97" s="688"/>
      <c r="AI97" s="804">
        <f>AA97+Y97+W97+U97+S97+Q97+O97+M97+K97+I97+G97+E97</f>
        <v>0</v>
      </c>
      <c r="AJ97" s="745">
        <v>5</v>
      </c>
      <c r="AK97" s="737"/>
      <c r="AL97" s="746"/>
      <c r="AM97" s="747"/>
      <c r="AN97" s="748"/>
      <c r="AO97" s="749"/>
    </row>
    <row r="98" spans="1:41" ht="20.25">
      <c r="A98" s="895"/>
      <c r="B98" s="903"/>
      <c r="C98" s="674" t="s">
        <v>612</v>
      </c>
      <c r="D98" s="675">
        <v>3.5</v>
      </c>
      <c r="E98" s="812"/>
      <c r="F98" s="677">
        <f t="shared" si="0"/>
        <v>0</v>
      </c>
      <c r="G98" s="813"/>
      <c r="H98" s="677">
        <f t="shared" si="51"/>
        <v>0</v>
      </c>
      <c r="I98" s="813"/>
      <c r="J98" s="677"/>
      <c r="K98" s="814"/>
      <c r="L98" s="677">
        <f t="shared" si="48"/>
        <v>0</v>
      </c>
      <c r="M98" s="680"/>
      <c r="N98" s="677">
        <f t="shared" si="42"/>
        <v>0</v>
      </c>
      <c r="O98" s="681"/>
      <c r="P98" s="682">
        <f t="shared" si="5"/>
        <v>0</v>
      </c>
      <c r="Q98" s="680"/>
      <c r="R98" s="677">
        <f t="shared" si="49"/>
        <v>0</v>
      </c>
      <c r="S98" s="680"/>
      <c r="T98" s="677">
        <f t="shared" si="7"/>
        <v>0</v>
      </c>
      <c r="U98" s="680"/>
      <c r="V98" s="677">
        <f t="shared" si="8"/>
        <v>0</v>
      </c>
      <c r="W98" s="680"/>
      <c r="X98" s="677">
        <f t="shared" si="9"/>
        <v>0</v>
      </c>
      <c r="Y98" s="680"/>
      <c r="Z98" s="677">
        <f t="shared" si="10"/>
        <v>0</v>
      </c>
      <c r="AA98" s="683"/>
      <c r="AB98" s="677">
        <f t="shared" si="11"/>
        <v>0</v>
      </c>
      <c r="AC98" s="684"/>
      <c r="AD98" s="901"/>
      <c r="AE98" s="898"/>
      <c r="AF98" s="782"/>
      <c r="AG98" s="902"/>
      <c r="AH98" s="688"/>
      <c r="AI98" s="848"/>
      <c r="AJ98" s="745"/>
      <c r="AK98" s="737"/>
      <c r="AL98" s="746"/>
      <c r="AM98" s="747"/>
      <c r="AN98" s="748"/>
      <c r="AO98" s="749"/>
    </row>
    <row r="99" spans="1:41" ht="20.25">
      <c r="A99" s="895"/>
      <c r="B99" s="903"/>
      <c r="C99" s="674" t="s">
        <v>613</v>
      </c>
      <c r="D99" s="675">
        <v>3.5</v>
      </c>
      <c r="E99" s="812"/>
      <c r="F99" s="677">
        <f t="shared" si="0"/>
        <v>0</v>
      </c>
      <c r="G99" s="813"/>
      <c r="H99" s="677">
        <f t="shared" si="51"/>
        <v>0</v>
      </c>
      <c r="I99" s="813"/>
      <c r="J99" s="677"/>
      <c r="K99" s="814"/>
      <c r="L99" s="677">
        <f t="shared" si="48"/>
        <v>0</v>
      </c>
      <c r="M99" s="680"/>
      <c r="N99" s="677">
        <f t="shared" si="42"/>
        <v>0</v>
      </c>
      <c r="O99" s="681"/>
      <c r="P99" s="682">
        <f t="shared" si="5"/>
        <v>0</v>
      </c>
      <c r="Q99" s="680"/>
      <c r="R99" s="677">
        <f t="shared" si="49"/>
        <v>0</v>
      </c>
      <c r="S99" s="680"/>
      <c r="T99" s="677">
        <f t="shared" si="7"/>
        <v>0</v>
      </c>
      <c r="U99" s="680"/>
      <c r="V99" s="677">
        <f t="shared" si="8"/>
        <v>0</v>
      </c>
      <c r="W99" s="680"/>
      <c r="X99" s="677">
        <f t="shared" si="9"/>
        <v>0</v>
      </c>
      <c r="Y99" s="680"/>
      <c r="Z99" s="677">
        <f t="shared" si="10"/>
        <v>0</v>
      </c>
      <c r="AA99" s="683"/>
      <c r="AB99" s="677">
        <f t="shared" si="11"/>
        <v>0</v>
      </c>
      <c r="AC99" s="684"/>
      <c r="AD99" s="901"/>
      <c r="AE99" s="898"/>
      <c r="AF99" s="782"/>
      <c r="AG99" s="902"/>
      <c r="AH99" s="688"/>
      <c r="AI99" s="848"/>
      <c r="AJ99" s="745"/>
      <c r="AK99" s="737"/>
      <c r="AL99" s="746"/>
      <c r="AM99" s="747"/>
      <c r="AN99" s="748"/>
      <c r="AO99" s="749"/>
    </row>
    <row r="100" spans="1:41" ht="20.25">
      <c r="A100" s="895"/>
      <c r="B100" s="903"/>
      <c r="C100" s="904" t="s">
        <v>316</v>
      </c>
      <c r="D100" s="905">
        <v>3.5</v>
      </c>
      <c r="E100" s="906"/>
      <c r="F100" s="907">
        <f t="shared" si="0"/>
        <v>0</v>
      </c>
      <c r="G100" s="908"/>
      <c r="H100" s="907">
        <f t="shared" si="51"/>
        <v>0</v>
      </c>
      <c r="I100" s="908"/>
      <c r="J100" s="907">
        <f aca="true" t="shared" si="53" ref="J100:J107">I100*D100</f>
        <v>0</v>
      </c>
      <c r="K100" s="909"/>
      <c r="L100" s="907">
        <f t="shared" si="48"/>
        <v>0</v>
      </c>
      <c r="M100" s="88"/>
      <c r="N100" s="907">
        <f t="shared" si="42"/>
        <v>0</v>
      </c>
      <c r="O100" s="910"/>
      <c r="P100" s="911">
        <f t="shared" si="5"/>
        <v>0</v>
      </c>
      <c r="Q100" s="88"/>
      <c r="R100" s="907">
        <f t="shared" si="49"/>
        <v>0</v>
      </c>
      <c r="S100" s="88"/>
      <c r="T100" s="907">
        <f t="shared" si="7"/>
        <v>0</v>
      </c>
      <c r="U100" s="88"/>
      <c r="V100" s="907">
        <f t="shared" si="8"/>
        <v>0</v>
      </c>
      <c r="W100" s="88"/>
      <c r="X100" s="907">
        <f t="shared" si="9"/>
        <v>0</v>
      </c>
      <c r="Y100" s="88"/>
      <c r="Z100" s="907">
        <f t="shared" si="10"/>
        <v>0</v>
      </c>
      <c r="AA100" s="912"/>
      <c r="AB100" s="907">
        <f t="shared" si="11"/>
        <v>0</v>
      </c>
      <c r="AC100" s="913" t="e">
        <f>'Commande Souvenirs, librairie'!#REF!</f>
        <v>#REF!</v>
      </c>
      <c r="AD100" s="901" t="e">
        <f>(AC100*20)/100+AC100</f>
        <v>#REF!</v>
      </c>
      <c r="AE100" s="898"/>
      <c r="AF100" s="782" t="e">
        <f>D100-AD100</f>
        <v>#REF!</v>
      </c>
      <c r="AG100" s="902" t="e">
        <f>AF100*AI100</f>
        <v>#REF!</v>
      </c>
      <c r="AH100" s="914">
        <f>AB100+Z100+X100+V100+T100+R100+P100+N100+L100+J100+H100+F100</f>
        <v>0</v>
      </c>
      <c r="AI100" s="915">
        <f aca="true" t="shared" si="54" ref="AI100:AI107">AA100+Y100+W100+U100+S100+Q100+O100+M100+K100+I100+G100+E100</f>
        <v>0</v>
      </c>
      <c r="AJ100" s="916">
        <v>10</v>
      </c>
      <c r="AK100" s="737"/>
      <c r="AL100" s="746"/>
      <c r="AM100" s="747"/>
      <c r="AN100" s="748"/>
      <c r="AO100" s="917"/>
    </row>
    <row r="101" spans="1:41" ht="21.75" customHeight="1">
      <c r="A101" s="918" t="s">
        <v>614</v>
      </c>
      <c r="B101" s="919"/>
      <c r="C101" s="920">
        <v>10</v>
      </c>
      <c r="D101" s="921">
        <v>10</v>
      </c>
      <c r="E101" s="922"/>
      <c r="F101" s="923">
        <f t="shared" si="0"/>
        <v>0</v>
      </c>
      <c r="G101" s="922"/>
      <c r="H101" s="923">
        <f t="shared" si="51"/>
        <v>0</v>
      </c>
      <c r="I101" s="922"/>
      <c r="J101" s="923">
        <f t="shared" si="53"/>
        <v>0</v>
      </c>
      <c r="K101" s="924"/>
      <c r="L101" s="923">
        <f t="shared" si="48"/>
        <v>0</v>
      </c>
      <c r="M101" s="925"/>
      <c r="N101" s="923">
        <f t="shared" si="42"/>
        <v>0</v>
      </c>
      <c r="O101" s="926"/>
      <c r="P101" s="927">
        <f t="shared" si="5"/>
        <v>0</v>
      </c>
      <c r="Q101" s="158"/>
      <c r="R101" s="928">
        <f t="shared" si="49"/>
        <v>0</v>
      </c>
      <c r="S101" s="158"/>
      <c r="T101" s="928">
        <f t="shared" si="7"/>
        <v>0</v>
      </c>
      <c r="U101" s="158"/>
      <c r="V101" s="907">
        <f t="shared" si="8"/>
        <v>0</v>
      </c>
      <c r="W101" s="158"/>
      <c r="X101" s="928">
        <f t="shared" si="9"/>
        <v>0</v>
      </c>
      <c r="Y101" s="158"/>
      <c r="Z101" s="928">
        <f t="shared" si="10"/>
        <v>0</v>
      </c>
      <c r="AA101" s="925"/>
      <c r="AB101" s="928">
        <f t="shared" si="11"/>
        <v>0</v>
      </c>
      <c r="AC101" s="844"/>
      <c r="AD101" s="845"/>
      <c r="AE101" s="929"/>
      <c r="AF101" s="782"/>
      <c r="AG101" s="902"/>
      <c r="AH101" s="688"/>
      <c r="AI101" s="915">
        <f t="shared" si="54"/>
        <v>0</v>
      </c>
      <c r="AJ101" s="930"/>
      <c r="AK101" s="737"/>
      <c r="AL101" s="746"/>
      <c r="AM101" s="747"/>
      <c r="AN101" s="748"/>
      <c r="AO101" s="931"/>
    </row>
    <row r="102" spans="1:41" ht="21.75">
      <c r="A102" s="918"/>
      <c r="B102" s="919"/>
      <c r="C102" s="920">
        <v>20</v>
      </c>
      <c r="D102" s="921">
        <v>20</v>
      </c>
      <c r="E102" s="922"/>
      <c r="F102" s="928">
        <f t="shared" si="0"/>
        <v>0</v>
      </c>
      <c r="G102" s="922"/>
      <c r="H102" s="928">
        <f t="shared" si="51"/>
        <v>0</v>
      </c>
      <c r="I102" s="922"/>
      <c r="J102" s="928">
        <f t="shared" si="53"/>
        <v>0</v>
      </c>
      <c r="K102" s="924"/>
      <c r="L102" s="928">
        <f t="shared" si="48"/>
        <v>0</v>
      </c>
      <c r="M102" s="925"/>
      <c r="N102" s="928">
        <f t="shared" si="42"/>
        <v>0</v>
      </c>
      <c r="O102" s="926"/>
      <c r="P102" s="927">
        <f t="shared" si="5"/>
        <v>0</v>
      </c>
      <c r="Q102" s="158"/>
      <c r="R102" s="928">
        <f t="shared" si="49"/>
        <v>0</v>
      </c>
      <c r="S102" s="158"/>
      <c r="T102" s="928">
        <f t="shared" si="7"/>
        <v>0</v>
      </c>
      <c r="U102" s="158"/>
      <c r="V102" s="907">
        <f t="shared" si="8"/>
        <v>0</v>
      </c>
      <c r="W102" s="158"/>
      <c r="X102" s="928">
        <f t="shared" si="9"/>
        <v>0</v>
      </c>
      <c r="Y102" s="158"/>
      <c r="Z102" s="928">
        <f t="shared" si="10"/>
        <v>0</v>
      </c>
      <c r="AA102" s="925"/>
      <c r="AB102" s="928">
        <f t="shared" si="11"/>
        <v>0</v>
      </c>
      <c r="AC102" s="844"/>
      <c r="AD102" s="845"/>
      <c r="AE102" s="929"/>
      <c r="AF102" s="782"/>
      <c r="AG102" s="902"/>
      <c r="AH102" s="688"/>
      <c r="AI102" s="915">
        <f t="shared" si="54"/>
        <v>0</v>
      </c>
      <c r="AJ102" s="930"/>
      <c r="AK102" s="737"/>
      <c r="AL102" s="746"/>
      <c r="AM102" s="747"/>
      <c r="AN102" s="748"/>
      <c r="AO102" s="931"/>
    </row>
    <row r="103" spans="1:41" ht="21.75">
      <c r="A103" s="918"/>
      <c r="B103" s="919"/>
      <c r="C103" s="920">
        <v>30</v>
      </c>
      <c r="D103" s="921">
        <v>30</v>
      </c>
      <c r="E103" s="922"/>
      <c r="F103" s="928">
        <f t="shared" si="0"/>
        <v>0</v>
      </c>
      <c r="G103" s="922"/>
      <c r="H103" s="928">
        <f t="shared" si="51"/>
        <v>0</v>
      </c>
      <c r="I103" s="922"/>
      <c r="J103" s="928">
        <f t="shared" si="53"/>
        <v>0</v>
      </c>
      <c r="K103" s="924"/>
      <c r="L103" s="928">
        <f t="shared" si="48"/>
        <v>0</v>
      </c>
      <c r="M103" s="925"/>
      <c r="N103" s="928">
        <f t="shared" si="42"/>
        <v>0</v>
      </c>
      <c r="O103" s="926"/>
      <c r="P103" s="927">
        <f t="shared" si="5"/>
        <v>0</v>
      </c>
      <c r="Q103" s="158"/>
      <c r="R103" s="928">
        <f t="shared" si="49"/>
        <v>0</v>
      </c>
      <c r="S103" s="158"/>
      <c r="T103" s="928">
        <f t="shared" si="7"/>
        <v>0</v>
      </c>
      <c r="U103" s="158"/>
      <c r="V103" s="907">
        <f t="shared" si="8"/>
        <v>0</v>
      </c>
      <c r="W103" s="158"/>
      <c r="X103" s="928">
        <f t="shared" si="9"/>
        <v>0</v>
      </c>
      <c r="Y103" s="158"/>
      <c r="Z103" s="928">
        <f t="shared" si="10"/>
        <v>0</v>
      </c>
      <c r="AA103" s="925"/>
      <c r="AB103" s="928">
        <f t="shared" si="11"/>
        <v>0</v>
      </c>
      <c r="AC103" s="844"/>
      <c r="AD103" s="845"/>
      <c r="AE103" s="929"/>
      <c r="AF103" s="782"/>
      <c r="AG103" s="902"/>
      <c r="AH103" s="688"/>
      <c r="AI103" s="915">
        <f t="shared" si="54"/>
        <v>0</v>
      </c>
      <c r="AJ103" s="930"/>
      <c r="AK103" s="737"/>
      <c r="AL103" s="746"/>
      <c r="AM103" s="747"/>
      <c r="AN103" s="748"/>
      <c r="AO103" s="931"/>
    </row>
    <row r="104" spans="1:41" ht="21.75">
      <c r="A104" s="932"/>
      <c r="B104" s="919" t="s">
        <v>615</v>
      </c>
      <c r="C104" s="933" t="s">
        <v>100</v>
      </c>
      <c r="D104" s="921">
        <v>9.9</v>
      </c>
      <c r="E104" s="934">
        <v>1</v>
      </c>
      <c r="F104" s="928">
        <f t="shared" si="0"/>
        <v>9.9</v>
      </c>
      <c r="G104" s="922"/>
      <c r="H104" s="928">
        <f t="shared" si="51"/>
        <v>0</v>
      </c>
      <c r="I104" s="922"/>
      <c r="J104" s="928">
        <f t="shared" si="53"/>
        <v>0</v>
      </c>
      <c r="K104" s="924"/>
      <c r="L104" s="928">
        <f t="shared" si="48"/>
        <v>0</v>
      </c>
      <c r="M104" s="925"/>
      <c r="N104" s="928">
        <f t="shared" si="42"/>
        <v>0</v>
      </c>
      <c r="O104" s="926"/>
      <c r="P104" s="927">
        <f t="shared" si="5"/>
        <v>0</v>
      </c>
      <c r="Q104" s="158"/>
      <c r="R104" s="928">
        <f t="shared" si="49"/>
        <v>0</v>
      </c>
      <c r="S104" s="158"/>
      <c r="T104" s="928">
        <f t="shared" si="7"/>
        <v>0</v>
      </c>
      <c r="U104" s="158"/>
      <c r="V104" s="907">
        <f t="shared" si="8"/>
        <v>0</v>
      </c>
      <c r="W104" s="158"/>
      <c r="X104" s="928">
        <f t="shared" si="9"/>
        <v>0</v>
      </c>
      <c r="Y104" s="158"/>
      <c r="Z104" s="928">
        <f t="shared" si="10"/>
        <v>0</v>
      </c>
      <c r="AA104" s="925"/>
      <c r="AB104" s="928">
        <f t="shared" si="11"/>
        <v>0</v>
      </c>
      <c r="AC104" s="844">
        <f>'Commande Alimentaire'!D42</f>
        <v>6.5</v>
      </c>
      <c r="AD104" s="845">
        <f>(AC104*20)/100+AC104</f>
        <v>7.8</v>
      </c>
      <c r="AE104" s="935">
        <v>0.2</v>
      </c>
      <c r="AF104" s="782">
        <f>D104-AD104</f>
        <v>2.1000000000000005</v>
      </c>
      <c r="AG104" s="902">
        <f>AF104*AI104</f>
        <v>2.1000000000000005</v>
      </c>
      <c r="AH104" s="664">
        <f>AB104+Z104+X104+V104+T104+R104+P104+N104+L104+J104+H104+F104</f>
        <v>9.9</v>
      </c>
      <c r="AI104" s="915">
        <f t="shared" si="54"/>
        <v>1</v>
      </c>
      <c r="AJ104" s="936">
        <v>2</v>
      </c>
      <c r="AK104" s="737"/>
      <c r="AL104" s="746"/>
      <c r="AM104" s="747"/>
      <c r="AN104" s="748"/>
      <c r="AO104" s="937"/>
    </row>
    <row r="105" spans="1:41" ht="21.75">
      <c r="A105" s="932"/>
      <c r="B105" s="919"/>
      <c r="C105" s="933" t="s">
        <v>616</v>
      </c>
      <c r="D105" s="921">
        <v>4.9</v>
      </c>
      <c r="E105" s="934"/>
      <c r="F105" s="927"/>
      <c r="G105" s="922"/>
      <c r="H105" s="927">
        <f t="shared" si="51"/>
        <v>0</v>
      </c>
      <c r="I105" s="922"/>
      <c r="J105" s="927">
        <f t="shared" si="53"/>
        <v>0</v>
      </c>
      <c r="K105" s="924"/>
      <c r="L105" s="927">
        <f t="shared" si="48"/>
        <v>0</v>
      </c>
      <c r="M105" s="925">
        <v>1</v>
      </c>
      <c r="N105" s="928">
        <f t="shared" si="42"/>
        <v>4.9</v>
      </c>
      <c r="O105" s="926"/>
      <c r="P105" s="927">
        <f t="shared" si="5"/>
        <v>0</v>
      </c>
      <c r="Q105" s="158"/>
      <c r="R105" s="928">
        <f t="shared" si="49"/>
        <v>0</v>
      </c>
      <c r="S105" s="158"/>
      <c r="T105" s="928">
        <f t="shared" si="7"/>
        <v>0</v>
      </c>
      <c r="U105" s="158"/>
      <c r="V105" s="928">
        <f t="shared" si="8"/>
        <v>0</v>
      </c>
      <c r="W105" s="158"/>
      <c r="X105" s="928">
        <f t="shared" si="9"/>
        <v>0</v>
      </c>
      <c r="Y105" s="158"/>
      <c r="Z105" s="928">
        <f t="shared" si="10"/>
        <v>0</v>
      </c>
      <c r="AA105" s="925"/>
      <c r="AB105" s="928">
        <f t="shared" si="11"/>
        <v>0</v>
      </c>
      <c r="AC105" s="844"/>
      <c r="AD105" s="845"/>
      <c r="AE105" s="935"/>
      <c r="AF105" s="782"/>
      <c r="AG105" s="752"/>
      <c r="AH105" s="847"/>
      <c r="AI105" s="915">
        <f t="shared" si="54"/>
        <v>1</v>
      </c>
      <c r="AJ105" s="936"/>
      <c r="AK105" s="737"/>
      <c r="AL105" s="746"/>
      <c r="AM105" s="747"/>
      <c r="AN105" s="748"/>
      <c r="AO105" s="937"/>
    </row>
    <row r="106" spans="1:41" ht="21.75">
      <c r="A106" s="932"/>
      <c r="B106" s="919"/>
      <c r="C106" s="933" t="s">
        <v>617</v>
      </c>
      <c r="D106" s="921">
        <v>7</v>
      </c>
      <c r="E106" s="934"/>
      <c r="F106" s="927"/>
      <c r="G106" s="922"/>
      <c r="H106" s="927">
        <f t="shared" si="51"/>
        <v>0</v>
      </c>
      <c r="I106" s="922"/>
      <c r="J106" s="927">
        <f t="shared" si="53"/>
        <v>0</v>
      </c>
      <c r="K106" s="924"/>
      <c r="L106" s="927">
        <f t="shared" si="48"/>
        <v>0</v>
      </c>
      <c r="M106" s="925"/>
      <c r="N106" s="928"/>
      <c r="O106" s="926"/>
      <c r="P106" s="927">
        <f t="shared" si="5"/>
        <v>0</v>
      </c>
      <c r="Q106" s="158"/>
      <c r="R106" s="928">
        <f t="shared" si="49"/>
        <v>0</v>
      </c>
      <c r="S106" s="158"/>
      <c r="T106" s="928">
        <f t="shared" si="7"/>
        <v>0</v>
      </c>
      <c r="U106" s="158"/>
      <c r="V106" s="928">
        <f t="shared" si="8"/>
        <v>0</v>
      </c>
      <c r="W106" s="158"/>
      <c r="X106" s="928">
        <f t="shared" si="9"/>
        <v>0</v>
      </c>
      <c r="Y106" s="158"/>
      <c r="Z106" s="928">
        <f t="shared" si="10"/>
        <v>0</v>
      </c>
      <c r="AA106" s="925"/>
      <c r="AB106" s="928">
        <f t="shared" si="11"/>
        <v>0</v>
      </c>
      <c r="AC106" s="844"/>
      <c r="AD106" s="845"/>
      <c r="AE106" s="935"/>
      <c r="AF106" s="782"/>
      <c r="AG106" s="752"/>
      <c r="AH106" s="847"/>
      <c r="AI106" s="915">
        <f t="shared" si="54"/>
        <v>0</v>
      </c>
      <c r="AJ106" s="936"/>
      <c r="AK106" s="737"/>
      <c r="AL106" s="746"/>
      <c r="AM106" s="747"/>
      <c r="AN106" s="748"/>
      <c r="AO106" s="937"/>
    </row>
    <row r="107" spans="1:41" ht="21.75">
      <c r="A107" s="932"/>
      <c r="B107" s="919"/>
      <c r="C107" s="933" t="s">
        <v>551</v>
      </c>
      <c r="D107" s="921">
        <v>10</v>
      </c>
      <c r="E107" s="934"/>
      <c r="F107" s="927"/>
      <c r="G107" s="922"/>
      <c r="H107" s="927">
        <f t="shared" si="51"/>
        <v>0</v>
      </c>
      <c r="I107" s="922"/>
      <c r="J107" s="927">
        <f t="shared" si="53"/>
        <v>0</v>
      </c>
      <c r="K107" s="924"/>
      <c r="L107" s="927">
        <f t="shared" si="48"/>
        <v>0</v>
      </c>
      <c r="M107" s="925">
        <v>2</v>
      </c>
      <c r="N107" s="928">
        <f>M107*D107</f>
        <v>20</v>
      </c>
      <c r="O107" s="926"/>
      <c r="P107" s="927">
        <f t="shared" si="5"/>
        <v>0</v>
      </c>
      <c r="Q107" s="158"/>
      <c r="R107" s="928">
        <f t="shared" si="49"/>
        <v>0</v>
      </c>
      <c r="S107" s="158"/>
      <c r="T107" s="928">
        <f t="shared" si="7"/>
        <v>0</v>
      </c>
      <c r="U107" s="158"/>
      <c r="V107" s="928">
        <f t="shared" si="8"/>
        <v>0</v>
      </c>
      <c r="W107" s="158"/>
      <c r="X107" s="928">
        <f t="shared" si="9"/>
        <v>0</v>
      </c>
      <c r="Y107" s="158"/>
      <c r="Z107" s="928">
        <f t="shared" si="10"/>
        <v>0</v>
      </c>
      <c r="AA107" s="925"/>
      <c r="AB107" s="928">
        <f t="shared" si="11"/>
        <v>0</v>
      </c>
      <c r="AC107" s="844"/>
      <c r="AD107" s="845"/>
      <c r="AE107" s="935"/>
      <c r="AF107" s="782"/>
      <c r="AG107" s="752"/>
      <c r="AH107" s="847"/>
      <c r="AI107" s="915">
        <f t="shared" si="54"/>
        <v>2</v>
      </c>
      <c r="AJ107" s="936"/>
      <c r="AK107" s="737"/>
      <c r="AL107" s="746"/>
      <c r="AM107" s="747"/>
      <c r="AN107" s="748"/>
      <c r="AO107" s="937"/>
    </row>
    <row r="108" spans="1:41" ht="21.75">
      <c r="A108" s="938"/>
      <c r="B108" s="939"/>
      <c r="C108" s="940" t="s">
        <v>618</v>
      </c>
      <c r="D108" s="941"/>
      <c r="E108" s="942">
        <f>SUM(E4:E104)</f>
        <v>17</v>
      </c>
      <c r="F108" s="943">
        <f>SUM(F4:F104)</f>
        <v>41.9</v>
      </c>
      <c r="G108" s="944">
        <f>SUM(G4:G104)</f>
        <v>14</v>
      </c>
      <c r="H108" s="945">
        <f>SUM(H4:H107)</f>
        <v>67.9</v>
      </c>
      <c r="I108" s="944">
        <f>SUM(I4:I104)</f>
        <v>15</v>
      </c>
      <c r="J108" s="945">
        <f>SUM(J4:J107)</f>
        <v>28</v>
      </c>
      <c r="K108" s="944">
        <f>SUM(K4:K104)</f>
        <v>6</v>
      </c>
      <c r="L108" s="945">
        <f>SUM(L4:L107)</f>
        <v>59.9</v>
      </c>
      <c r="M108" s="946">
        <f>SUM(M4:M107)</f>
        <v>22</v>
      </c>
      <c r="N108" s="945">
        <f>SUM(N4:N107)</f>
        <v>66.8</v>
      </c>
      <c r="O108" s="947">
        <f>SUM(O4:O107)</f>
        <v>22</v>
      </c>
      <c r="P108" s="948">
        <f>SUM(P4:P107)</f>
        <v>88</v>
      </c>
      <c r="Q108" s="949">
        <f>SUM(Q4:Q107)</f>
        <v>0</v>
      </c>
      <c r="R108" s="950">
        <f>SUM(R4:R107)</f>
        <v>0</v>
      </c>
      <c r="S108" s="949">
        <f>SUM(S4:S107)</f>
        <v>0</v>
      </c>
      <c r="T108" s="951">
        <f>SUM(T4:T107)</f>
        <v>0</v>
      </c>
      <c r="U108" s="949">
        <f>SUM(U4:U107)</f>
        <v>0</v>
      </c>
      <c r="V108" s="950">
        <f>SUM(V4:V107)</f>
        <v>0</v>
      </c>
      <c r="W108" s="949">
        <f>SUM(W4:W107)</f>
        <v>0</v>
      </c>
      <c r="X108" s="950">
        <f>SUM(X4:X107)</f>
        <v>0</v>
      </c>
      <c r="Y108" s="949">
        <f>SUM(Y4:Y107)</f>
        <v>0</v>
      </c>
      <c r="Z108" s="950">
        <f>SUM(Z4:Z107)</f>
        <v>0</v>
      </c>
      <c r="AA108" s="952">
        <f>SUM(AA4:AA107)</f>
        <v>0</v>
      </c>
      <c r="AB108" s="950">
        <f>SUM(AB4:AB107)</f>
        <v>0</v>
      </c>
      <c r="AC108" s="953"/>
      <c r="AD108" s="954"/>
      <c r="AE108" s="954"/>
      <c r="AF108" s="782">
        <f>D108-AD108</f>
        <v>0</v>
      </c>
      <c r="AG108" s="955" t="e">
        <f>SUM(AG4:AG104)</f>
        <v>#REF!</v>
      </c>
      <c r="AH108" s="798">
        <f>SUM(AH4:AH104)</f>
        <v>317.6</v>
      </c>
      <c r="AI108" s="735">
        <f>SUM(AI4:AI104)</f>
        <v>91</v>
      </c>
      <c r="AJ108" s="956"/>
      <c r="AK108" s="892"/>
      <c r="AL108" s="788"/>
      <c r="AM108" s="957"/>
      <c r="AN108" s="958"/>
      <c r="AO108" s="959"/>
    </row>
    <row r="109" spans="1:36" ht="21">
      <c r="A109" s="960"/>
      <c r="B109" s="961"/>
      <c r="E109" s="10" t="s">
        <v>0</v>
      </c>
      <c r="G109" s="596" t="s">
        <v>1</v>
      </c>
      <c r="H109" s="10"/>
      <c r="I109" s="10" t="s">
        <v>619</v>
      </c>
      <c r="K109" s="10" t="s">
        <v>3</v>
      </c>
      <c r="M109" s="10" t="s">
        <v>4</v>
      </c>
      <c r="O109" s="10" t="s">
        <v>5</v>
      </c>
      <c r="Q109" s="10" t="s">
        <v>6</v>
      </c>
      <c r="S109" t="s">
        <v>7</v>
      </c>
      <c r="U109" s="10" t="s">
        <v>8</v>
      </c>
      <c r="W109" t="s">
        <v>9</v>
      </c>
      <c r="Y109" t="s">
        <v>10</v>
      </c>
      <c r="AA109" t="s">
        <v>11</v>
      </c>
      <c r="AJ109" s="962"/>
    </row>
    <row r="110" spans="11:29" ht="12.75">
      <c r="K110" s="963"/>
      <c r="AA110" s="297"/>
      <c r="AB110" s="297"/>
      <c r="AC110" s="297"/>
    </row>
    <row r="111" spans="7:29" ht="12.75">
      <c r="G111"/>
      <c r="O111" s="964"/>
      <c r="P111" s="964"/>
      <c r="AA111" s="297"/>
      <c r="AB111" s="297"/>
      <c r="AC111" s="297"/>
    </row>
    <row r="112" spans="27:29" ht="12.75">
      <c r="AA112" s="297"/>
      <c r="AB112" s="297"/>
      <c r="AC112" s="297"/>
    </row>
    <row r="113" spans="27:29" ht="12.75">
      <c r="AA113" s="297"/>
      <c r="AB113" s="297"/>
      <c r="AC113" s="297"/>
    </row>
  </sheetData>
  <sheetProtection selectLockedCells="1" selectUnlockedCells="1"/>
  <mergeCells count="48">
    <mergeCell ref="A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4:A12"/>
    <mergeCell ref="B4:B8"/>
    <mergeCell ref="AE4:AE12"/>
    <mergeCell ref="B10:B12"/>
    <mergeCell ref="A13:A14"/>
    <mergeCell ref="A16:A33"/>
    <mergeCell ref="B16:B29"/>
    <mergeCell ref="AE16:AE29"/>
    <mergeCell ref="B30:B33"/>
    <mergeCell ref="A34:A44"/>
    <mergeCell ref="B34:B44"/>
    <mergeCell ref="AE34:AE44"/>
    <mergeCell ref="A46:A57"/>
    <mergeCell ref="B46:B57"/>
    <mergeCell ref="AE46:AE57"/>
    <mergeCell ref="A58:A65"/>
    <mergeCell ref="B58:B65"/>
    <mergeCell ref="AE58:AE65"/>
    <mergeCell ref="A66:A68"/>
    <mergeCell ref="B66:B67"/>
    <mergeCell ref="AE66:AE67"/>
    <mergeCell ref="A70:A77"/>
    <mergeCell ref="B70:B77"/>
    <mergeCell ref="AE70:AE75"/>
    <mergeCell ref="A78:A79"/>
    <mergeCell ref="B78:B79"/>
    <mergeCell ref="A80:A82"/>
    <mergeCell ref="B80:B81"/>
    <mergeCell ref="A83:A90"/>
    <mergeCell ref="B83:B90"/>
    <mergeCell ref="A92:A100"/>
    <mergeCell ref="AE92:AE100"/>
    <mergeCell ref="B94:B96"/>
    <mergeCell ref="B97:B100"/>
    <mergeCell ref="A101:A103"/>
  </mergeCells>
  <printOptions/>
  <pageMargins left="0.7000000000000001" right="0.7000000000000001" top="0.75" bottom="0.75" header="0.5118110236220472" footer="0.5118110236220472"/>
  <pageSetup horizontalDpi="300" verticalDpi="300" orientation="portrait" paperSize="8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AR257"/>
  <sheetViews>
    <sheetView workbookViewId="0" topLeftCell="A1">
      <selection activeCell="AO40" sqref="AO40"/>
    </sheetView>
  </sheetViews>
  <sheetFormatPr defaultColWidth="9.140625" defaultRowHeight="12.75"/>
  <cols>
    <col min="1" max="1" width="16.00390625" style="0" customWidth="1"/>
    <col min="2" max="2" width="17.7109375" style="0" customWidth="1"/>
    <col min="3" max="3" width="43.7109375" style="0" customWidth="1"/>
    <col min="4" max="4" width="11.00390625" style="0" customWidth="1"/>
    <col min="5" max="5" width="11.28125" style="0" customWidth="1"/>
    <col min="6" max="6" width="18.00390625" style="0" hidden="1" customWidth="1"/>
    <col min="7" max="7" width="17.140625" style="0" hidden="1" customWidth="1"/>
    <col min="8" max="8" width="16.57421875" style="0" hidden="1" customWidth="1"/>
    <col min="9" max="9" width="16.7109375" style="0" hidden="1" customWidth="1"/>
    <col min="10" max="10" width="16.421875" style="0" hidden="1" customWidth="1"/>
    <col min="11" max="11" width="16.57421875" style="0" hidden="1" customWidth="1"/>
    <col min="12" max="12" width="17.00390625" style="0" hidden="1" customWidth="1"/>
    <col min="13" max="13" width="15.7109375" style="0" hidden="1" customWidth="1"/>
    <col min="14" max="14" width="16.57421875" style="0" hidden="1" customWidth="1"/>
    <col min="15" max="15" width="14.8515625" style="0" hidden="1" customWidth="1"/>
    <col min="16" max="16" width="15.140625" style="0" hidden="1" customWidth="1"/>
    <col min="17" max="17" width="15.8515625" style="0" hidden="1" customWidth="1"/>
    <col min="18" max="18" width="15.57421875" style="0" hidden="1" customWidth="1"/>
    <col min="19" max="19" width="16.00390625" style="0" hidden="1" customWidth="1"/>
    <col min="20" max="20" width="11.57421875" style="0" hidden="1" customWidth="1"/>
    <col min="21" max="21" width="17.28125" style="0" hidden="1" customWidth="1"/>
    <col min="22" max="22" width="11.57421875" style="0" hidden="1" customWidth="1"/>
    <col min="23" max="23" width="13.57421875" style="0" hidden="1" customWidth="1"/>
    <col min="24" max="24" width="11.57421875" style="0" hidden="1" customWidth="1"/>
    <col min="25" max="25" width="14.28125" style="0" hidden="1" customWidth="1"/>
    <col min="26" max="29" width="11.57421875" style="0" hidden="1" customWidth="1"/>
    <col min="30" max="33" width="11.421875" style="0" hidden="1" customWidth="1"/>
    <col min="34" max="34" width="23.28125" style="0" hidden="1" customWidth="1"/>
    <col min="35" max="35" width="15.8515625" style="0" hidden="1" customWidth="1"/>
    <col min="36" max="36" width="19.57421875" style="0" customWidth="1"/>
    <col min="37" max="38" width="11.57421875" style="0" customWidth="1"/>
    <col min="39" max="41" width="15.57421875" style="0" customWidth="1"/>
    <col min="42" max="42" width="11.57421875" style="0" customWidth="1"/>
    <col min="43" max="43" width="17.421875" style="0" customWidth="1"/>
    <col min="44" max="16384" width="11.00390625" style="0" customWidth="1"/>
  </cols>
  <sheetData>
    <row r="1" spans="1:5" ht="13.5">
      <c r="A1" s="597" t="s">
        <v>491</v>
      </c>
      <c r="B1" s="597"/>
      <c r="C1" s="597"/>
      <c r="D1" s="597"/>
      <c r="E1" s="597"/>
    </row>
    <row r="2" spans="1:34" ht="27.75">
      <c r="A2" s="965" t="s">
        <v>620</v>
      </c>
      <c r="B2" s="965"/>
      <c r="C2" s="965"/>
      <c r="D2" s="966">
        <v>2021</v>
      </c>
      <c r="E2" s="967"/>
      <c r="F2" s="968" t="s">
        <v>0</v>
      </c>
      <c r="G2" s="968"/>
      <c r="H2" s="969" t="s">
        <v>1</v>
      </c>
      <c r="I2" s="969"/>
      <c r="J2" s="968" t="s">
        <v>2</v>
      </c>
      <c r="K2" s="968"/>
      <c r="L2" s="969" t="s">
        <v>3</v>
      </c>
      <c r="M2" s="969"/>
      <c r="N2" s="968" t="s">
        <v>4</v>
      </c>
      <c r="O2" s="968"/>
      <c r="P2" s="969" t="s">
        <v>5</v>
      </c>
      <c r="Q2" s="969"/>
      <c r="R2" s="969" t="s">
        <v>6</v>
      </c>
      <c r="S2" s="969"/>
      <c r="T2" s="970" t="s">
        <v>621</v>
      </c>
      <c r="U2" s="970"/>
      <c r="V2" s="968" t="s">
        <v>8</v>
      </c>
      <c r="W2" s="968"/>
      <c r="X2" s="969" t="s">
        <v>9</v>
      </c>
      <c r="Y2" s="969"/>
      <c r="Z2" s="968" t="s">
        <v>10</v>
      </c>
      <c r="AA2" s="968"/>
      <c r="AB2" s="969" t="s">
        <v>11</v>
      </c>
      <c r="AC2" s="969"/>
      <c r="AD2" s="605"/>
      <c r="AE2" s="605"/>
      <c r="AF2" s="605"/>
      <c r="AG2" s="605"/>
      <c r="AH2" s="605"/>
    </row>
    <row r="3" spans="1:43" ht="101.25">
      <c r="A3" s="971" t="s">
        <v>493</v>
      </c>
      <c r="B3" s="972" t="s">
        <v>494</v>
      </c>
      <c r="C3" s="973" t="s">
        <v>495</v>
      </c>
      <c r="D3" s="974" t="s">
        <v>622</v>
      </c>
      <c r="E3" s="975" t="s">
        <v>623</v>
      </c>
      <c r="F3" s="610" t="s">
        <v>497</v>
      </c>
      <c r="G3" s="613" t="s">
        <v>498</v>
      </c>
      <c r="H3" s="612" t="s">
        <v>497</v>
      </c>
      <c r="I3" s="611" t="s">
        <v>499</v>
      </c>
      <c r="J3" s="610" t="s">
        <v>497</v>
      </c>
      <c r="K3" s="613" t="s">
        <v>500</v>
      </c>
      <c r="L3" s="612" t="s">
        <v>497</v>
      </c>
      <c r="M3" s="611" t="s">
        <v>501</v>
      </c>
      <c r="N3" s="610" t="s">
        <v>497</v>
      </c>
      <c r="O3" s="613" t="s">
        <v>502</v>
      </c>
      <c r="P3" s="612" t="s">
        <v>497</v>
      </c>
      <c r="Q3" s="611" t="s">
        <v>503</v>
      </c>
      <c r="R3" s="612" t="s">
        <v>497</v>
      </c>
      <c r="S3" s="611" t="s">
        <v>504</v>
      </c>
      <c r="T3" s="612" t="s">
        <v>497</v>
      </c>
      <c r="U3" s="611" t="s">
        <v>505</v>
      </c>
      <c r="V3" s="610" t="s">
        <v>497</v>
      </c>
      <c r="W3" s="613" t="s">
        <v>506</v>
      </c>
      <c r="X3" s="612" t="s">
        <v>497</v>
      </c>
      <c r="Y3" s="611" t="s">
        <v>507</v>
      </c>
      <c r="Z3" s="610" t="s">
        <v>508</v>
      </c>
      <c r="AA3" s="613" t="s">
        <v>509</v>
      </c>
      <c r="AB3" s="976" t="s">
        <v>497</v>
      </c>
      <c r="AC3" s="615" t="s">
        <v>510</v>
      </c>
      <c r="AD3" s="616" t="s">
        <v>511</v>
      </c>
      <c r="AE3" s="617" t="s">
        <v>512</v>
      </c>
      <c r="AF3" s="617" t="s">
        <v>513</v>
      </c>
      <c r="AG3" s="618" t="s">
        <v>624</v>
      </c>
      <c r="AH3" s="977" t="s">
        <v>515</v>
      </c>
      <c r="AI3" s="978" t="s">
        <v>516</v>
      </c>
      <c r="AJ3" s="979" t="s">
        <v>625</v>
      </c>
      <c r="AK3" s="980" t="s">
        <v>518</v>
      </c>
      <c r="AL3" s="981" t="s">
        <v>519</v>
      </c>
      <c r="AM3" s="981" t="s">
        <v>626</v>
      </c>
      <c r="AN3" s="981" t="s">
        <v>627</v>
      </c>
      <c r="AO3" s="981"/>
      <c r="AP3" s="980" t="s">
        <v>520</v>
      </c>
      <c r="AQ3" s="982" t="s">
        <v>628</v>
      </c>
    </row>
    <row r="4" spans="1:43" ht="21.75" customHeight="1">
      <c r="A4" s="983" t="s">
        <v>629</v>
      </c>
      <c r="B4" s="984" t="s">
        <v>40</v>
      </c>
      <c r="C4" s="985" t="s">
        <v>42</v>
      </c>
      <c r="D4" s="986">
        <v>19.5</v>
      </c>
      <c r="E4" s="987">
        <v>20.9</v>
      </c>
      <c r="F4" s="637"/>
      <c r="G4" s="988">
        <f aca="true" t="shared" si="0" ref="G4:G6">F4*D4</f>
        <v>0</v>
      </c>
      <c r="H4" s="634">
        <v>1</v>
      </c>
      <c r="I4" s="631">
        <f aca="true" t="shared" si="1" ref="I4:I21">H4*D4</f>
        <v>19.5</v>
      </c>
      <c r="J4" s="637"/>
      <c r="K4" s="636">
        <f aca="true" t="shared" si="2" ref="K4:K13">J4*D4</f>
        <v>0</v>
      </c>
      <c r="L4" s="634"/>
      <c r="M4" s="631">
        <f aca="true" t="shared" si="3" ref="M4:M6">L4*E4</f>
        <v>0</v>
      </c>
      <c r="N4" s="637">
        <v>1</v>
      </c>
      <c r="O4" s="636">
        <f aca="true" t="shared" si="4" ref="O4:O6">N4*E4</f>
        <v>20.9</v>
      </c>
      <c r="P4" s="635">
        <v>1</v>
      </c>
      <c r="Q4" s="631">
        <f aca="true" t="shared" si="5" ref="Q4:Q6">P4*E4</f>
        <v>20.9</v>
      </c>
      <c r="R4" s="634"/>
      <c r="S4" s="631">
        <f aca="true" t="shared" si="6" ref="S4:S6">R4*E4</f>
        <v>0</v>
      </c>
      <c r="T4" s="634"/>
      <c r="U4" s="631">
        <f aca="true" t="shared" si="7" ref="U4:U6">T4*E4</f>
        <v>0</v>
      </c>
      <c r="V4" s="637"/>
      <c r="W4" s="636">
        <f aca="true" t="shared" si="8" ref="W4:W6">V4*E4</f>
        <v>0</v>
      </c>
      <c r="X4" s="634"/>
      <c r="Y4" s="631">
        <f aca="true" t="shared" si="9" ref="Y4:Y6">X4*E4</f>
        <v>0</v>
      </c>
      <c r="Z4" s="637"/>
      <c r="AA4" s="636">
        <f aca="true" t="shared" si="10" ref="AA4:AA6">Z4*E4</f>
        <v>0</v>
      </c>
      <c r="AB4" s="634"/>
      <c r="AC4" s="631">
        <f aca="true" t="shared" si="11" ref="AC4:AC6">AB4*E4</f>
        <v>0</v>
      </c>
      <c r="AD4" s="638">
        <f>'Commande Alimentaire'!D4</f>
        <v>15.73</v>
      </c>
      <c r="AE4" s="989">
        <f aca="true" t="shared" si="12" ref="AE4:AE15">(AD4*5.5)/100+AD4</f>
        <v>16.59515</v>
      </c>
      <c r="AF4" s="990">
        <v>0.055</v>
      </c>
      <c r="AG4" s="743">
        <f aca="true" t="shared" si="13" ref="AG4:AG15">D4-AD4</f>
        <v>3.7699999999999996</v>
      </c>
      <c r="AH4" s="991">
        <f aca="true" t="shared" si="14" ref="AH4:AH15">AG4*AJ4</f>
        <v>11.309999999999999</v>
      </c>
      <c r="AI4" s="992">
        <f aca="true" t="shared" si="15" ref="AI4:AI15">SUM(AC4+AA4+Y4+W4+U4+S4+Q4+O4+M4+K4+I4+G4)</f>
        <v>61.3</v>
      </c>
      <c r="AJ4" s="993">
        <f aca="true" t="shared" si="16" ref="AJ4:AJ21">SUM(F4+H4+J4+L4+N4+P4+R4+T4+V4+X4+Z4+AB4)</f>
        <v>3</v>
      </c>
      <c r="AK4" s="994">
        <v>6</v>
      </c>
      <c r="AL4" s="995"/>
      <c r="AM4" s="995"/>
      <c r="AN4" s="995"/>
      <c r="AO4" s="995"/>
      <c r="AP4" s="996">
        <f aca="true" t="shared" si="17" ref="AP4:AP21">(AK4+AL4)-AJ4-AM4+AN4</f>
        <v>3</v>
      </c>
      <c r="AQ4" s="997"/>
    </row>
    <row r="5" spans="1:43" ht="20.25">
      <c r="A5" s="983"/>
      <c r="B5" s="984"/>
      <c r="C5" s="998" t="s">
        <v>44</v>
      </c>
      <c r="D5" s="999">
        <v>6.1</v>
      </c>
      <c r="E5" s="1000"/>
      <c r="F5" s="659"/>
      <c r="G5" s="1001">
        <f t="shared" si="0"/>
        <v>0</v>
      </c>
      <c r="H5" s="68"/>
      <c r="I5" s="654">
        <f t="shared" si="1"/>
        <v>0</v>
      </c>
      <c r="J5" s="659"/>
      <c r="K5" s="658">
        <f t="shared" si="2"/>
        <v>0</v>
      </c>
      <c r="L5" s="68"/>
      <c r="M5" s="631">
        <f t="shared" si="3"/>
        <v>0</v>
      </c>
      <c r="N5" s="637"/>
      <c r="O5" s="636">
        <f t="shared" si="4"/>
        <v>0</v>
      </c>
      <c r="P5" s="657"/>
      <c r="Q5" s="631">
        <f t="shared" si="5"/>
        <v>0</v>
      </c>
      <c r="R5" s="68"/>
      <c r="S5" s="631">
        <f t="shared" si="6"/>
        <v>0</v>
      </c>
      <c r="T5" s="68"/>
      <c r="U5" s="631">
        <f t="shared" si="7"/>
        <v>0</v>
      </c>
      <c r="V5" s="659"/>
      <c r="W5" s="636">
        <f t="shared" si="8"/>
        <v>0</v>
      </c>
      <c r="X5" s="68"/>
      <c r="Y5" s="631">
        <f t="shared" si="9"/>
        <v>0</v>
      </c>
      <c r="Z5" s="659"/>
      <c r="AA5" s="636">
        <f t="shared" si="10"/>
        <v>0</v>
      </c>
      <c r="AB5" s="68"/>
      <c r="AC5" s="631">
        <f t="shared" si="11"/>
        <v>0</v>
      </c>
      <c r="AD5" s="660">
        <f>'Commande Alimentaire'!D6</f>
        <v>4.23</v>
      </c>
      <c r="AE5" s="1002">
        <f t="shared" si="12"/>
        <v>4.46265</v>
      </c>
      <c r="AF5" s="990"/>
      <c r="AG5" s="662">
        <f t="shared" si="13"/>
        <v>1.8699999999999992</v>
      </c>
      <c r="AH5" s="1003">
        <f t="shared" si="14"/>
        <v>0</v>
      </c>
      <c r="AI5" s="1004">
        <f t="shared" si="15"/>
        <v>0</v>
      </c>
      <c r="AJ5" s="1005">
        <f t="shared" si="16"/>
        <v>0</v>
      </c>
      <c r="AK5" s="1006">
        <v>26</v>
      </c>
      <c r="AL5" s="1007"/>
      <c r="AM5" s="1007">
        <v>5</v>
      </c>
      <c r="AN5" s="1007"/>
      <c r="AO5" s="1007"/>
      <c r="AP5" s="1008">
        <f t="shared" si="17"/>
        <v>21</v>
      </c>
      <c r="AQ5" s="1009"/>
    </row>
    <row r="6" spans="1:43" ht="20.25">
      <c r="A6" s="983"/>
      <c r="B6" s="984"/>
      <c r="C6" s="1010" t="s">
        <v>46</v>
      </c>
      <c r="D6" s="1011">
        <v>10.5</v>
      </c>
      <c r="E6" s="1012">
        <v>11.9</v>
      </c>
      <c r="F6" s="706"/>
      <c r="G6" s="1013">
        <f t="shared" si="0"/>
        <v>0</v>
      </c>
      <c r="H6" s="703"/>
      <c r="I6" s="700">
        <f t="shared" si="1"/>
        <v>0</v>
      </c>
      <c r="J6" s="706">
        <v>3</v>
      </c>
      <c r="K6" s="705">
        <f t="shared" si="2"/>
        <v>31.5</v>
      </c>
      <c r="L6" s="703">
        <v>1</v>
      </c>
      <c r="M6" s="631">
        <f t="shared" si="3"/>
        <v>11.9</v>
      </c>
      <c r="N6" s="637">
        <v>1</v>
      </c>
      <c r="O6" s="636">
        <f t="shared" si="4"/>
        <v>11.9</v>
      </c>
      <c r="P6" s="704">
        <v>2</v>
      </c>
      <c r="Q6" s="631">
        <f t="shared" si="5"/>
        <v>23.8</v>
      </c>
      <c r="R6" s="703"/>
      <c r="S6" s="631">
        <f t="shared" si="6"/>
        <v>0</v>
      </c>
      <c r="T6" s="703"/>
      <c r="U6" s="631">
        <f t="shared" si="7"/>
        <v>0</v>
      </c>
      <c r="V6" s="706"/>
      <c r="W6" s="636">
        <f t="shared" si="8"/>
        <v>0</v>
      </c>
      <c r="X6" s="703"/>
      <c r="Y6" s="631">
        <f t="shared" si="9"/>
        <v>0</v>
      </c>
      <c r="Z6" s="706"/>
      <c r="AA6" s="636">
        <f t="shared" si="10"/>
        <v>0</v>
      </c>
      <c r="AB6" s="703"/>
      <c r="AC6" s="631">
        <f t="shared" si="11"/>
        <v>0</v>
      </c>
      <c r="AD6" s="707">
        <f>'Commande Alimentaire'!D7</f>
        <v>8.96</v>
      </c>
      <c r="AE6" s="1014">
        <f t="shared" si="12"/>
        <v>9.452800000000002</v>
      </c>
      <c r="AF6" s="990"/>
      <c r="AG6" s="751">
        <f t="shared" si="13"/>
        <v>1.5399999999999991</v>
      </c>
      <c r="AH6" s="1015">
        <f t="shared" si="14"/>
        <v>10.779999999999994</v>
      </c>
      <c r="AI6" s="1004">
        <f t="shared" si="15"/>
        <v>79.1</v>
      </c>
      <c r="AJ6" s="1005">
        <f t="shared" si="16"/>
        <v>7</v>
      </c>
      <c r="AK6" s="1006">
        <v>17</v>
      </c>
      <c r="AL6" s="1007"/>
      <c r="AM6" s="1007"/>
      <c r="AN6" s="1007"/>
      <c r="AO6" s="1007"/>
      <c r="AP6" s="1008">
        <f t="shared" si="17"/>
        <v>10</v>
      </c>
      <c r="AQ6" s="1009"/>
    </row>
    <row r="7" spans="1:43" ht="21" customHeight="1">
      <c r="A7" s="983"/>
      <c r="B7" s="1016" t="s">
        <v>47</v>
      </c>
      <c r="C7" s="1017" t="s">
        <v>49</v>
      </c>
      <c r="D7" s="1018">
        <v>9</v>
      </c>
      <c r="E7" s="1019"/>
      <c r="F7" s="729">
        <v>1</v>
      </c>
      <c r="G7" s="728">
        <f aca="true" t="shared" si="18" ref="G7:G29">D7*F7</f>
        <v>9</v>
      </c>
      <c r="H7" s="49">
        <v>1</v>
      </c>
      <c r="I7" s="724">
        <f t="shared" si="1"/>
        <v>9</v>
      </c>
      <c r="J7" s="729">
        <v>1</v>
      </c>
      <c r="K7" s="728">
        <f t="shared" si="2"/>
        <v>9</v>
      </c>
      <c r="L7" s="49"/>
      <c r="M7" s="724">
        <f aca="true" t="shared" si="19" ref="M7:M12">L7*D7</f>
        <v>0</v>
      </c>
      <c r="N7" s="729"/>
      <c r="O7" s="728">
        <f aca="true" t="shared" si="20" ref="O7:O12">N7*D7</f>
        <v>0</v>
      </c>
      <c r="P7" s="727">
        <v>1</v>
      </c>
      <c r="Q7" s="724">
        <f aca="true" t="shared" si="21" ref="Q7:Q12">P7*D7</f>
        <v>9</v>
      </c>
      <c r="R7" s="49"/>
      <c r="S7" s="724">
        <f aca="true" t="shared" si="22" ref="S7:S12">R7*D7</f>
        <v>0</v>
      </c>
      <c r="T7" s="49"/>
      <c r="U7" s="724">
        <f aca="true" t="shared" si="23" ref="U7:U12">T7*D7</f>
        <v>0</v>
      </c>
      <c r="V7" s="729"/>
      <c r="W7" s="728">
        <f aca="true" t="shared" si="24" ref="W7:W12">V7*D7</f>
        <v>0</v>
      </c>
      <c r="X7" s="49"/>
      <c r="Y7" s="724">
        <f aca="true" t="shared" si="25" ref="Y7:Y12">X7*D7</f>
        <v>0</v>
      </c>
      <c r="Z7" s="729"/>
      <c r="AA7" s="728">
        <f aca="true" t="shared" si="26" ref="AA7:AA12">Z7*D7</f>
        <v>0</v>
      </c>
      <c r="AB7" s="49"/>
      <c r="AC7" s="724">
        <f aca="true" t="shared" si="27" ref="AC7:AC12">AB7*D7</f>
        <v>0</v>
      </c>
      <c r="AD7" s="779">
        <f>'Commande Alimentaire'!D8</f>
        <v>6.54</v>
      </c>
      <c r="AE7" s="845">
        <f t="shared" si="12"/>
        <v>6.8997</v>
      </c>
      <c r="AF7" s="990"/>
      <c r="AG7" s="887">
        <f t="shared" si="13"/>
        <v>2.46</v>
      </c>
      <c r="AH7" s="1020">
        <f t="shared" si="14"/>
        <v>9.84</v>
      </c>
      <c r="AI7" s="1004">
        <f t="shared" si="15"/>
        <v>36</v>
      </c>
      <c r="AJ7" s="1005">
        <f t="shared" si="16"/>
        <v>4</v>
      </c>
      <c r="AK7" s="1006">
        <v>8</v>
      </c>
      <c r="AL7" s="1007"/>
      <c r="AM7" s="1007"/>
      <c r="AN7" s="1007"/>
      <c r="AO7" s="1007"/>
      <c r="AP7" s="1008">
        <f t="shared" si="17"/>
        <v>4</v>
      </c>
      <c r="AQ7" s="1009"/>
    </row>
    <row r="8" spans="1:43" ht="20.25">
      <c r="A8" s="983"/>
      <c r="B8" s="1016"/>
      <c r="C8" s="998" t="s">
        <v>51</v>
      </c>
      <c r="D8" s="999">
        <v>14.5</v>
      </c>
      <c r="E8" s="1000"/>
      <c r="F8" s="659"/>
      <c r="G8" s="658">
        <f t="shared" si="18"/>
        <v>0</v>
      </c>
      <c r="H8" s="68">
        <v>2</v>
      </c>
      <c r="I8" s="654">
        <f t="shared" si="1"/>
        <v>29</v>
      </c>
      <c r="J8" s="659">
        <v>1</v>
      </c>
      <c r="K8" s="658">
        <f t="shared" si="2"/>
        <v>14.5</v>
      </c>
      <c r="L8" s="68"/>
      <c r="M8" s="654">
        <f t="shared" si="19"/>
        <v>0</v>
      </c>
      <c r="N8" s="659"/>
      <c r="O8" s="658">
        <f t="shared" si="20"/>
        <v>0</v>
      </c>
      <c r="P8" s="657">
        <v>1</v>
      </c>
      <c r="Q8" s="654">
        <f t="shared" si="21"/>
        <v>14.5</v>
      </c>
      <c r="R8" s="68"/>
      <c r="S8" s="654">
        <f t="shared" si="22"/>
        <v>0</v>
      </c>
      <c r="T8" s="68"/>
      <c r="U8" s="654">
        <f t="shared" si="23"/>
        <v>0</v>
      </c>
      <c r="V8" s="659"/>
      <c r="W8" s="658">
        <f t="shared" si="24"/>
        <v>0</v>
      </c>
      <c r="X8" s="68"/>
      <c r="Y8" s="724">
        <f t="shared" si="25"/>
        <v>0</v>
      </c>
      <c r="Z8" s="659"/>
      <c r="AA8" s="728">
        <f t="shared" si="26"/>
        <v>0</v>
      </c>
      <c r="AB8" s="68"/>
      <c r="AC8" s="724">
        <f t="shared" si="27"/>
        <v>0</v>
      </c>
      <c r="AD8" s="885">
        <f>'Commande Alimentaire'!D9</f>
        <v>10.83</v>
      </c>
      <c r="AE8" s="815">
        <f t="shared" si="12"/>
        <v>11.425650000000001</v>
      </c>
      <c r="AF8" s="990"/>
      <c r="AG8" s="887">
        <f t="shared" si="13"/>
        <v>3.67</v>
      </c>
      <c r="AH8" s="1020">
        <f t="shared" si="14"/>
        <v>14.68</v>
      </c>
      <c r="AI8" s="1004">
        <f t="shared" si="15"/>
        <v>58</v>
      </c>
      <c r="AJ8" s="1005">
        <f t="shared" si="16"/>
        <v>4</v>
      </c>
      <c r="AK8" s="1006">
        <v>5</v>
      </c>
      <c r="AL8" s="1007">
        <v>6</v>
      </c>
      <c r="AM8" s="1007"/>
      <c r="AN8" s="1007"/>
      <c r="AO8" s="1007"/>
      <c r="AP8" s="1008">
        <f t="shared" si="17"/>
        <v>7</v>
      </c>
      <c r="AQ8" s="1009"/>
    </row>
    <row r="9" spans="1:43" ht="20.25">
      <c r="A9" s="983"/>
      <c r="B9" s="1016"/>
      <c r="C9" s="1021" t="s">
        <v>630</v>
      </c>
      <c r="D9" s="1011">
        <v>6.9</v>
      </c>
      <c r="E9" s="1012"/>
      <c r="F9" s="706"/>
      <c r="G9" s="1022">
        <f t="shared" si="18"/>
        <v>0</v>
      </c>
      <c r="H9" s="703"/>
      <c r="I9" s="700">
        <f t="shared" si="1"/>
        <v>0</v>
      </c>
      <c r="J9" s="706">
        <v>3</v>
      </c>
      <c r="K9" s="705">
        <f t="shared" si="2"/>
        <v>20.700000000000003</v>
      </c>
      <c r="L9" s="703"/>
      <c r="M9" s="700">
        <f t="shared" si="19"/>
        <v>0</v>
      </c>
      <c r="N9" s="706"/>
      <c r="O9" s="705">
        <f t="shared" si="20"/>
        <v>0</v>
      </c>
      <c r="P9" s="704">
        <v>4</v>
      </c>
      <c r="Q9" s="700">
        <f t="shared" si="21"/>
        <v>27.6</v>
      </c>
      <c r="R9" s="703"/>
      <c r="S9" s="700">
        <f t="shared" si="22"/>
        <v>0</v>
      </c>
      <c r="T9" s="703"/>
      <c r="U9" s="700">
        <f t="shared" si="23"/>
        <v>0</v>
      </c>
      <c r="V9" s="706"/>
      <c r="W9" s="705">
        <f t="shared" si="24"/>
        <v>0</v>
      </c>
      <c r="X9" s="703"/>
      <c r="Y9" s="700">
        <f t="shared" si="25"/>
        <v>0</v>
      </c>
      <c r="Z9" s="706"/>
      <c r="AA9" s="705">
        <f t="shared" si="26"/>
        <v>0</v>
      </c>
      <c r="AB9" s="703"/>
      <c r="AC9" s="700">
        <f t="shared" si="27"/>
        <v>0</v>
      </c>
      <c r="AD9" s="885">
        <f>'Commande Alimentaire'!D10</f>
        <v>5.05</v>
      </c>
      <c r="AE9" s="815">
        <f t="shared" si="12"/>
        <v>5.32775</v>
      </c>
      <c r="AF9" s="990"/>
      <c r="AG9" s="887">
        <f t="shared" si="13"/>
        <v>1.8500000000000005</v>
      </c>
      <c r="AH9" s="1020">
        <f t="shared" si="14"/>
        <v>12.950000000000003</v>
      </c>
      <c r="AI9" s="1004">
        <f t="shared" si="15"/>
        <v>48.300000000000004</v>
      </c>
      <c r="AJ9" s="1005">
        <f t="shared" si="16"/>
        <v>7</v>
      </c>
      <c r="AK9" s="1006">
        <v>25</v>
      </c>
      <c r="AL9" s="1007"/>
      <c r="AM9" s="1007">
        <v>5</v>
      </c>
      <c r="AN9" s="1007"/>
      <c r="AO9" s="1007"/>
      <c r="AP9" s="1008">
        <f t="shared" si="17"/>
        <v>13</v>
      </c>
      <c r="AQ9" s="1009"/>
    </row>
    <row r="10" spans="1:43" ht="20.25">
      <c r="A10" s="983"/>
      <c r="B10" s="1023" t="s">
        <v>54</v>
      </c>
      <c r="C10" s="1021" t="s">
        <v>631</v>
      </c>
      <c r="D10" s="1011">
        <v>17</v>
      </c>
      <c r="E10" s="1012"/>
      <c r="F10" s="706"/>
      <c r="G10" s="1013">
        <f t="shared" si="18"/>
        <v>0</v>
      </c>
      <c r="H10" s="703"/>
      <c r="I10" s="700">
        <f t="shared" si="1"/>
        <v>0</v>
      </c>
      <c r="J10" s="706"/>
      <c r="K10" s="705">
        <f t="shared" si="2"/>
        <v>0</v>
      </c>
      <c r="L10" s="703"/>
      <c r="M10" s="700">
        <f t="shared" si="19"/>
        <v>0</v>
      </c>
      <c r="N10" s="706"/>
      <c r="O10" s="705">
        <f t="shared" si="20"/>
        <v>0</v>
      </c>
      <c r="P10" s="704">
        <v>1</v>
      </c>
      <c r="Q10" s="700">
        <f t="shared" si="21"/>
        <v>17</v>
      </c>
      <c r="R10" s="703"/>
      <c r="S10" s="700">
        <f t="shared" si="22"/>
        <v>0</v>
      </c>
      <c r="T10" s="703"/>
      <c r="U10" s="700">
        <f t="shared" si="23"/>
        <v>0</v>
      </c>
      <c r="V10" s="706"/>
      <c r="W10" s="705">
        <f t="shared" si="24"/>
        <v>0</v>
      </c>
      <c r="X10" s="703"/>
      <c r="Y10" s="700">
        <f t="shared" si="25"/>
        <v>0</v>
      </c>
      <c r="Z10" s="706"/>
      <c r="AA10" s="705">
        <f t="shared" si="26"/>
        <v>0</v>
      </c>
      <c r="AB10" s="703"/>
      <c r="AC10" s="700">
        <f t="shared" si="27"/>
        <v>0</v>
      </c>
      <c r="AD10" s="707">
        <f>'Commande Alimentaire'!D11</f>
        <v>12.5</v>
      </c>
      <c r="AE10" s="815">
        <f t="shared" si="12"/>
        <v>13.1875</v>
      </c>
      <c r="AF10" s="990"/>
      <c r="AG10" s="709">
        <f t="shared" si="13"/>
        <v>4.5</v>
      </c>
      <c r="AH10" s="1024">
        <f t="shared" si="14"/>
        <v>4.5</v>
      </c>
      <c r="AI10" s="1004">
        <f t="shared" si="15"/>
        <v>17</v>
      </c>
      <c r="AJ10" s="1005">
        <f t="shared" si="16"/>
        <v>1</v>
      </c>
      <c r="AK10" s="1006">
        <v>9</v>
      </c>
      <c r="AL10" s="1007"/>
      <c r="AM10" s="1007"/>
      <c r="AN10" s="1007"/>
      <c r="AO10" s="1007"/>
      <c r="AP10" s="1008">
        <f t="shared" si="17"/>
        <v>8</v>
      </c>
      <c r="AQ10" s="1009"/>
    </row>
    <row r="11" spans="1:43" ht="21.75" customHeight="1">
      <c r="A11" s="983"/>
      <c r="B11" s="984" t="s">
        <v>57</v>
      </c>
      <c r="C11" s="985" t="s">
        <v>59</v>
      </c>
      <c r="D11" s="986">
        <v>5</v>
      </c>
      <c r="E11" s="987"/>
      <c r="F11" s="637"/>
      <c r="G11" s="636">
        <f t="shared" si="18"/>
        <v>0</v>
      </c>
      <c r="H11" s="634">
        <v>1</v>
      </c>
      <c r="I11" s="631">
        <f t="shared" si="1"/>
        <v>5</v>
      </c>
      <c r="J11" s="637">
        <v>2</v>
      </c>
      <c r="K11" s="636">
        <f t="shared" si="2"/>
        <v>10</v>
      </c>
      <c r="L11" s="634">
        <v>1</v>
      </c>
      <c r="M11" s="631">
        <f t="shared" si="19"/>
        <v>5</v>
      </c>
      <c r="N11" s="637">
        <v>1</v>
      </c>
      <c r="O11" s="636">
        <f t="shared" si="20"/>
        <v>5</v>
      </c>
      <c r="P11" s="635">
        <v>1</v>
      </c>
      <c r="Q11" s="631">
        <f t="shared" si="21"/>
        <v>5</v>
      </c>
      <c r="R11" s="634"/>
      <c r="S11" s="631">
        <f t="shared" si="22"/>
        <v>0</v>
      </c>
      <c r="T11" s="634"/>
      <c r="U11" s="631">
        <f t="shared" si="23"/>
        <v>0</v>
      </c>
      <c r="V11" s="637"/>
      <c r="W11" s="636">
        <f t="shared" si="24"/>
        <v>0</v>
      </c>
      <c r="X11" s="634"/>
      <c r="Y11" s="631">
        <f t="shared" si="25"/>
        <v>0</v>
      </c>
      <c r="Z11" s="637"/>
      <c r="AA11" s="636">
        <f t="shared" si="26"/>
        <v>0</v>
      </c>
      <c r="AB11" s="634"/>
      <c r="AC11" s="631">
        <f t="shared" si="27"/>
        <v>0</v>
      </c>
      <c r="AD11" s="638">
        <f>'Commande Alimentaire'!D12</f>
        <v>3.34</v>
      </c>
      <c r="AE11" s="815">
        <f t="shared" si="12"/>
        <v>3.5237</v>
      </c>
      <c r="AF11" s="990"/>
      <c r="AG11" s="641">
        <f t="shared" si="13"/>
        <v>1.6600000000000001</v>
      </c>
      <c r="AH11" s="1025">
        <f t="shared" si="14"/>
        <v>9.96</v>
      </c>
      <c r="AI11" s="1004">
        <f t="shared" si="15"/>
        <v>30</v>
      </c>
      <c r="AJ11" s="1005">
        <f t="shared" si="16"/>
        <v>6</v>
      </c>
      <c r="AK11" s="1006">
        <v>21</v>
      </c>
      <c r="AL11" s="1007"/>
      <c r="AM11" s="1007">
        <v>7</v>
      </c>
      <c r="AN11" s="1007"/>
      <c r="AO11" s="1007"/>
      <c r="AP11" s="1008">
        <f t="shared" si="17"/>
        <v>8</v>
      </c>
      <c r="AQ11" s="1009"/>
    </row>
    <row r="12" spans="1:43" ht="20.25">
      <c r="A12" s="983"/>
      <c r="B12" s="984"/>
      <c r="C12" s="1021" t="s">
        <v>60</v>
      </c>
      <c r="D12" s="1011">
        <v>5.2</v>
      </c>
      <c r="E12" s="1012"/>
      <c r="F12" s="706"/>
      <c r="G12" s="1013">
        <f t="shared" si="18"/>
        <v>0</v>
      </c>
      <c r="H12" s="703"/>
      <c r="I12" s="700">
        <f t="shared" si="1"/>
        <v>0</v>
      </c>
      <c r="J12" s="706">
        <v>1</v>
      </c>
      <c r="K12" s="705">
        <f t="shared" si="2"/>
        <v>5.2</v>
      </c>
      <c r="L12" s="703"/>
      <c r="M12" s="700">
        <f t="shared" si="19"/>
        <v>0</v>
      </c>
      <c r="N12" s="706"/>
      <c r="O12" s="705">
        <f t="shared" si="20"/>
        <v>0</v>
      </c>
      <c r="P12" s="704"/>
      <c r="Q12" s="700">
        <f t="shared" si="21"/>
        <v>0</v>
      </c>
      <c r="R12" s="703"/>
      <c r="S12" s="700">
        <f t="shared" si="22"/>
        <v>0</v>
      </c>
      <c r="T12" s="703"/>
      <c r="U12" s="700">
        <f t="shared" si="23"/>
        <v>0</v>
      </c>
      <c r="V12" s="706"/>
      <c r="W12" s="705">
        <f t="shared" si="24"/>
        <v>0</v>
      </c>
      <c r="X12" s="703"/>
      <c r="Y12" s="700">
        <f t="shared" si="25"/>
        <v>0</v>
      </c>
      <c r="Z12" s="706"/>
      <c r="AA12" s="705">
        <f t="shared" si="26"/>
        <v>0</v>
      </c>
      <c r="AB12" s="703"/>
      <c r="AC12" s="700">
        <f t="shared" si="27"/>
        <v>0</v>
      </c>
      <c r="AD12" s="707">
        <f>'Commande Alimentaire'!D13</f>
        <v>3.47</v>
      </c>
      <c r="AE12" s="815">
        <f t="shared" si="12"/>
        <v>3.6608500000000004</v>
      </c>
      <c r="AF12" s="990"/>
      <c r="AG12" s="709">
        <f t="shared" si="13"/>
        <v>1.73</v>
      </c>
      <c r="AH12" s="1024">
        <f t="shared" si="14"/>
        <v>1.73</v>
      </c>
      <c r="AI12" s="1004">
        <f t="shared" si="15"/>
        <v>5.2</v>
      </c>
      <c r="AJ12" s="1005">
        <f t="shared" si="16"/>
        <v>1</v>
      </c>
      <c r="AK12" s="1006">
        <v>16</v>
      </c>
      <c r="AL12" s="1007"/>
      <c r="AM12" s="1007">
        <v>5</v>
      </c>
      <c r="AN12" s="1007"/>
      <c r="AO12" s="1007"/>
      <c r="AP12" s="1008">
        <f t="shared" si="17"/>
        <v>10</v>
      </c>
      <c r="AQ12" s="1009"/>
    </row>
    <row r="13" spans="1:43" ht="21.75" customHeight="1">
      <c r="A13" s="983"/>
      <c r="B13" s="1026" t="s">
        <v>61</v>
      </c>
      <c r="C13" s="1017" t="s">
        <v>632</v>
      </c>
      <c r="D13" s="1018">
        <v>20.5</v>
      </c>
      <c r="E13" s="1019">
        <v>24.5</v>
      </c>
      <c r="F13" s="729"/>
      <c r="G13" s="728">
        <f t="shared" si="18"/>
        <v>0</v>
      </c>
      <c r="H13" s="49"/>
      <c r="I13" s="724">
        <f t="shared" si="1"/>
        <v>0</v>
      </c>
      <c r="J13" s="729"/>
      <c r="K13" s="728">
        <f t="shared" si="2"/>
        <v>0</v>
      </c>
      <c r="L13" s="49"/>
      <c r="M13" s="724">
        <f aca="true" t="shared" si="28" ref="M13:M15">L13*E13</f>
        <v>0</v>
      </c>
      <c r="N13" s="729"/>
      <c r="O13" s="728">
        <f aca="true" t="shared" si="29" ref="O13:O15">N13*E13</f>
        <v>0</v>
      </c>
      <c r="P13" s="727"/>
      <c r="Q13" s="724">
        <f aca="true" t="shared" si="30" ref="Q13:Q15">P13*E13</f>
        <v>0</v>
      </c>
      <c r="R13" s="49"/>
      <c r="S13" s="724">
        <f aca="true" t="shared" si="31" ref="S13:S15">R13*E13</f>
        <v>0</v>
      </c>
      <c r="T13" s="49"/>
      <c r="U13" s="724">
        <f aca="true" t="shared" si="32" ref="U13:U15">T13*E13</f>
        <v>0</v>
      </c>
      <c r="V13" s="729"/>
      <c r="W13" s="728">
        <f aca="true" t="shared" si="33" ref="W13:W15">V13*E13</f>
        <v>0</v>
      </c>
      <c r="X13" s="49"/>
      <c r="Y13" s="724">
        <f aca="true" t="shared" si="34" ref="Y13:Y15">X13*E13</f>
        <v>0</v>
      </c>
      <c r="Z13" s="729"/>
      <c r="AA13" s="728">
        <f aca="true" t="shared" si="35" ref="AA13:AA15">Z13*E13</f>
        <v>0</v>
      </c>
      <c r="AB13" s="49"/>
      <c r="AC13" s="724">
        <f aca="true" t="shared" si="36" ref="AC13:AC15">AB13*E13</f>
        <v>0</v>
      </c>
      <c r="AD13" s="779">
        <f>'Commande Alimentaire'!D14</f>
        <v>18.34</v>
      </c>
      <c r="AE13" s="815">
        <f t="shared" si="12"/>
        <v>19.3487</v>
      </c>
      <c r="AF13" s="990"/>
      <c r="AG13" s="732">
        <f t="shared" si="13"/>
        <v>2.16</v>
      </c>
      <c r="AH13" s="1027">
        <f t="shared" si="14"/>
        <v>0</v>
      </c>
      <c r="AI13" s="1004">
        <f t="shared" si="15"/>
        <v>0</v>
      </c>
      <c r="AJ13" s="1005">
        <f t="shared" si="16"/>
        <v>0</v>
      </c>
      <c r="AK13" s="1006">
        <v>5</v>
      </c>
      <c r="AL13" s="1007"/>
      <c r="AM13" s="1007"/>
      <c r="AN13" s="1007"/>
      <c r="AO13" s="1007"/>
      <c r="AP13" s="1008">
        <f t="shared" si="17"/>
        <v>5</v>
      </c>
      <c r="AQ13" s="1009"/>
    </row>
    <row r="14" spans="1:43" ht="20.25">
      <c r="A14" s="983"/>
      <c r="B14" s="1026"/>
      <c r="C14" s="1028" t="s">
        <v>64</v>
      </c>
      <c r="D14" s="999">
        <v>13.9</v>
      </c>
      <c r="E14" s="1029">
        <v>15.5</v>
      </c>
      <c r="F14" s="843"/>
      <c r="G14" s="1030">
        <f t="shared" si="18"/>
        <v>0</v>
      </c>
      <c r="H14" s="153"/>
      <c r="I14" s="750">
        <f t="shared" si="1"/>
        <v>0</v>
      </c>
      <c r="J14" s="843">
        <v>1</v>
      </c>
      <c r="K14" s="842">
        <v>13.9</v>
      </c>
      <c r="L14" s="153"/>
      <c r="M14" s="724">
        <f t="shared" si="28"/>
        <v>0</v>
      </c>
      <c r="N14" s="843"/>
      <c r="O14" s="728">
        <f t="shared" si="29"/>
        <v>0</v>
      </c>
      <c r="P14" s="841">
        <v>2</v>
      </c>
      <c r="Q14" s="724">
        <f t="shared" si="30"/>
        <v>31</v>
      </c>
      <c r="R14" s="153"/>
      <c r="S14" s="724">
        <f t="shared" si="31"/>
        <v>0</v>
      </c>
      <c r="T14" s="153"/>
      <c r="U14" s="724">
        <f t="shared" si="32"/>
        <v>0</v>
      </c>
      <c r="V14" s="843"/>
      <c r="W14" s="728">
        <f t="shared" si="33"/>
        <v>0</v>
      </c>
      <c r="X14" s="153"/>
      <c r="Y14" s="724">
        <f t="shared" si="34"/>
        <v>0</v>
      </c>
      <c r="Z14" s="843"/>
      <c r="AA14" s="728">
        <f t="shared" si="35"/>
        <v>0</v>
      </c>
      <c r="AB14" s="153"/>
      <c r="AC14" s="724">
        <f t="shared" si="36"/>
        <v>0</v>
      </c>
      <c r="AD14" s="885">
        <f>'Commande Alimentaire'!D15</f>
        <v>11.75</v>
      </c>
      <c r="AE14" s="815">
        <f t="shared" si="12"/>
        <v>12.39625</v>
      </c>
      <c r="AF14" s="990"/>
      <c r="AG14" s="887">
        <f t="shared" si="13"/>
        <v>2.1500000000000004</v>
      </c>
      <c r="AH14" s="1020">
        <f t="shared" si="14"/>
        <v>6.450000000000001</v>
      </c>
      <c r="AI14" s="1004">
        <f t="shared" si="15"/>
        <v>44.9</v>
      </c>
      <c r="AJ14" s="1005">
        <f t="shared" si="16"/>
        <v>3</v>
      </c>
      <c r="AK14" s="1006">
        <v>3</v>
      </c>
      <c r="AL14" s="1007"/>
      <c r="AM14" s="1007"/>
      <c r="AN14" s="1007"/>
      <c r="AO14" s="1007"/>
      <c r="AP14" s="1008">
        <f t="shared" si="17"/>
        <v>0</v>
      </c>
      <c r="AQ14" s="1009"/>
    </row>
    <row r="15" spans="1:43" ht="20.25">
      <c r="A15" s="983"/>
      <c r="B15" s="1026"/>
      <c r="C15" s="1031" t="s">
        <v>66</v>
      </c>
      <c r="D15" s="1032">
        <v>8.1</v>
      </c>
      <c r="E15" s="1033">
        <v>8.55</v>
      </c>
      <c r="F15" s="683"/>
      <c r="G15" s="682">
        <f t="shared" si="18"/>
        <v>0</v>
      </c>
      <c r="H15" s="680"/>
      <c r="I15" s="677">
        <f t="shared" si="1"/>
        <v>0</v>
      </c>
      <c r="J15" s="683"/>
      <c r="K15" s="682">
        <f aca="true" t="shared" si="37" ref="K15:K21">J15*D15</f>
        <v>0</v>
      </c>
      <c r="L15" s="680"/>
      <c r="M15" s="724">
        <f t="shared" si="28"/>
        <v>0</v>
      </c>
      <c r="N15" s="683"/>
      <c r="O15" s="728">
        <f t="shared" si="29"/>
        <v>0</v>
      </c>
      <c r="P15" s="681"/>
      <c r="Q15" s="724">
        <f t="shared" si="30"/>
        <v>0</v>
      </c>
      <c r="R15" s="680"/>
      <c r="S15" s="724">
        <f t="shared" si="31"/>
        <v>0</v>
      </c>
      <c r="T15" s="680"/>
      <c r="U15" s="724">
        <f t="shared" si="32"/>
        <v>0</v>
      </c>
      <c r="V15" s="683"/>
      <c r="W15" s="728">
        <f t="shared" si="33"/>
        <v>0</v>
      </c>
      <c r="X15" s="680"/>
      <c r="Y15" s="724">
        <f t="shared" si="34"/>
        <v>0</v>
      </c>
      <c r="Z15" s="683"/>
      <c r="AA15" s="728">
        <f t="shared" si="35"/>
        <v>0</v>
      </c>
      <c r="AB15" s="680"/>
      <c r="AC15" s="724">
        <f t="shared" si="36"/>
        <v>0</v>
      </c>
      <c r="AD15" s="1034">
        <f>'Commande Alimentaire'!D17</f>
        <v>6.47</v>
      </c>
      <c r="AE15" s="815">
        <f t="shared" si="12"/>
        <v>6.82585</v>
      </c>
      <c r="AF15" s="990"/>
      <c r="AG15" s="1035">
        <f t="shared" si="13"/>
        <v>1.63</v>
      </c>
      <c r="AH15" s="1036">
        <f t="shared" si="14"/>
        <v>0</v>
      </c>
      <c r="AI15" s="1004">
        <f t="shared" si="15"/>
        <v>0</v>
      </c>
      <c r="AJ15" s="1005">
        <f t="shared" si="16"/>
        <v>0</v>
      </c>
      <c r="AK15" s="1006">
        <v>5</v>
      </c>
      <c r="AL15" s="1007"/>
      <c r="AM15" s="1007"/>
      <c r="AN15" s="1007"/>
      <c r="AO15" s="1007"/>
      <c r="AP15" s="1008">
        <f t="shared" si="17"/>
        <v>5</v>
      </c>
      <c r="AQ15" s="1009"/>
    </row>
    <row r="16" spans="1:43" ht="21.75" customHeight="1">
      <c r="A16" s="983"/>
      <c r="B16" s="984" t="s">
        <v>67</v>
      </c>
      <c r="C16" s="985" t="s">
        <v>633</v>
      </c>
      <c r="D16" s="986">
        <v>7</v>
      </c>
      <c r="E16" s="1037"/>
      <c r="F16" s="843"/>
      <c r="G16" s="842">
        <f t="shared" si="18"/>
        <v>0</v>
      </c>
      <c r="H16" s="153"/>
      <c r="I16" s="750">
        <f t="shared" si="1"/>
        <v>0</v>
      </c>
      <c r="J16" s="843"/>
      <c r="K16" s="842">
        <f t="shared" si="37"/>
        <v>0</v>
      </c>
      <c r="L16" s="153"/>
      <c r="M16" s="750"/>
      <c r="N16" s="843"/>
      <c r="O16" s="842"/>
      <c r="P16" s="841"/>
      <c r="Q16" s="750"/>
      <c r="R16" s="153"/>
      <c r="S16" s="750"/>
      <c r="T16" s="153"/>
      <c r="U16" s="750"/>
      <c r="V16" s="843"/>
      <c r="W16" s="842"/>
      <c r="X16" s="153"/>
      <c r="Y16" s="750"/>
      <c r="Z16" s="843"/>
      <c r="AA16" s="842"/>
      <c r="AB16" s="153"/>
      <c r="AC16" s="750"/>
      <c r="AD16" s="1034"/>
      <c r="AE16" s="815"/>
      <c r="AF16" s="990"/>
      <c r="AG16" s="1035"/>
      <c r="AH16" s="1036"/>
      <c r="AI16" s="1004"/>
      <c r="AJ16" s="1005">
        <f t="shared" si="16"/>
        <v>0</v>
      </c>
      <c r="AK16" s="1006">
        <v>0</v>
      </c>
      <c r="AL16" s="1007">
        <v>12</v>
      </c>
      <c r="AM16" s="1007">
        <v>7</v>
      </c>
      <c r="AN16" s="1007"/>
      <c r="AO16" s="1007"/>
      <c r="AP16" s="1008">
        <f t="shared" si="17"/>
        <v>5</v>
      </c>
      <c r="AQ16" s="1009"/>
    </row>
    <row r="17" spans="1:43" ht="28.5">
      <c r="A17" s="983"/>
      <c r="B17" s="984"/>
      <c r="C17" s="1021" t="s">
        <v>634</v>
      </c>
      <c r="D17" s="1011">
        <v>8.5</v>
      </c>
      <c r="E17" s="1012">
        <v>8.9</v>
      </c>
      <c r="F17" s="884"/>
      <c r="G17" s="883">
        <f t="shared" si="18"/>
        <v>0</v>
      </c>
      <c r="H17" s="881">
        <v>1</v>
      </c>
      <c r="I17" s="878">
        <f t="shared" si="1"/>
        <v>8.5</v>
      </c>
      <c r="J17" s="884"/>
      <c r="K17" s="883">
        <f t="shared" si="37"/>
        <v>0</v>
      </c>
      <c r="L17" s="881"/>
      <c r="M17" s="878">
        <f>L17*E17</f>
        <v>0</v>
      </c>
      <c r="N17" s="884"/>
      <c r="O17" s="883">
        <f>N17*E17</f>
        <v>0</v>
      </c>
      <c r="P17" s="882"/>
      <c r="Q17" s="878">
        <f>P17*E17</f>
        <v>0</v>
      </c>
      <c r="R17" s="881"/>
      <c r="S17" s="878">
        <f>R17*E17</f>
        <v>0</v>
      </c>
      <c r="T17" s="881"/>
      <c r="U17" s="878">
        <f>T17*E17</f>
        <v>0</v>
      </c>
      <c r="V17" s="884"/>
      <c r="W17" s="883">
        <f>V17*E17</f>
        <v>0</v>
      </c>
      <c r="X17" s="881"/>
      <c r="Y17" s="878">
        <f>X17*E17</f>
        <v>0</v>
      </c>
      <c r="Z17" s="884"/>
      <c r="AA17" s="883">
        <f>Z17*E17</f>
        <v>0</v>
      </c>
      <c r="AB17" s="881"/>
      <c r="AC17" s="878">
        <f>AB17*E17</f>
        <v>0</v>
      </c>
      <c r="AD17" s="885">
        <f>'Commande Alimentaire'!D19</f>
        <v>6.63</v>
      </c>
      <c r="AE17" s="815">
        <f>(AD17*5.5)/100+AD17</f>
        <v>6.99465</v>
      </c>
      <c r="AF17" s="990"/>
      <c r="AG17" s="887">
        <f aca="true" t="shared" si="38" ref="AG17:AG21">D17-AD17</f>
        <v>1.87</v>
      </c>
      <c r="AH17" s="1020">
        <f aca="true" t="shared" si="39" ref="AH17:AH21">AG17*AJ17</f>
        <v>1.87</v>
      </c>
      <c r="AI17" s="1004">
        <f aca="true" t="shared" si="40" ref="AI17:AI21">SUM(AC17+AA17+Y17+W17+U17+S17+Q17+O17+M17+K17+I17+G17)</f>
        <v>8.5</v>
      </c>
      <c r="AJ17" s="1005">
        <f t="shared" si="16"/>
        <v>1</v>
      </c>
      <c r="AK17" s="1006">
        <v>9</v>
      </c>
      <c r="AL17" s="1007"/>
      <c r="AM17" s="1007">
        <v>2</v>
      </c>
      <c r="AN17" s="1007"/>
      <c r="AO17" s="1007"/>
      <c r="AP17" s="1008">
        <f t="shared" si="17"/>
        <v>6</v>
      </c>
      <c r="AQ17" s="1038" t="s">
        <v>635</v>
      </c>
    </row>
    <row r="18" spans="1:43" ht="21" customHeight="1">
      <c r="A18" s="983"/>
      <c r="B18" s="984" t="s">
        <v>70</v>
      </c>
      <c r="C18" s="985" t="s">
        <v>72</v>
      </c>
      <c r="D18" s="986">
        <v>5</v>
      </c>
      <c r="E18" s="987"/>
      <c r="F18" s="637"/>
      <c r="G18" s="636">
        <f t="shared" si="18"/>
        <v>0</v>
      </c>
      <c r="H18" s="634">
        <v>1</v>
      </c>
      <c r="I18" s="631">
        <f t="shared" si="1"/>
        <v>5</v>
      </c>
      <c r="J18" s="637">
        <v>4</v>
      </c>
      <c r="K18" s="636">
        <f t="shared" si="37"/>
        <v>20</v>
      </c>
      <c r="L18" s="634"/>
      <c r="M18" s="631">
        <f aca="true" t="shared" si="41" ref="M18:M21">L18*D18</f>
        <v>0</v>
      </c>
      <c r="N18" s="637">
        <v>1</v>
      </c>
      <c r="O18" s="636">
        <f aca="true" t="shared" si="42" ref="O18:O75">N18*D18</f>
        <v>5</v>
      </c>
      <c r="P18" s="635">
        <v>1</v>
      </c>
      <c r="Q18" s="631">
        <f aca="true" t="shared" si="43" ref="Q18:Q44">P18*D18</f>
        <v>5</v>
      </c>
      <c r="R18" s="634"/>
      <c r="S18" s="631">
        <f aca="true" t="shared" si="44" ref="S18:S75">R18*D18</f>
        <v>0</v>
      </c>
      <c r="T18" s="634"/>
      <c r="U18" s="631">
        <f aca="true" t="shared" si="45" ref="U18:U75">T18*D18</f>
        <v>0</v>
      </c>
      <c r="V18" s="637"/>
      <c r="W18" s="636">
        <f aca="true" t="shared" si="46" ref="W18:W75">V18*D18</f>
        <v>0</v>
      </c>
      <c r="X18" s="634"/>
      <c r="Y18" s="631">
        <f aca="true" t="shared" si="47" ref="Y18:Y44">X18*D18</f>
        <v>0</v>
      </c>
      <c r="Z18" s="637"/>
      <c r="AA18" s="636">
        <f aca="true" t="shared" si="48" ref="AA18:AA75">Z18*D18</f>
        <v>0</v>
      </c>
      <c r="AB18" s="634"/>
      <c r="AC18" s="631">
        <f aca="true" t="shared" si="49" ref="AC18:AC75">AB18*D18</f>
        <v>0</v>
      </c>
      <c r="AD18" s="638">
        <f>'Commande Alimentaire'!D20</f>
        <v>3.16</v>
      </c>
      <c r="AE18" s="639">
        <f aca="true" t="shared" si="50" ref="AE18:AE21">(AD18*20)/100+AD18</f>
        <v>3.7920000000000003</v>
      </c>
      <c r="AF18" s="640">
        <v>0.2</v>
      </c>
      <c r="AG18" s="641">
        <f t="shared" si="38"/>
        <v>1.8399999999999999</v>
      </c>
      <c r="AH18" s="1025">
        <f t="shared" si="39"/>
        <v>12.879999999999999</v>
      </c>
      <c r="AI18" s="1004">
        <f t="shared" si="40"/>
        <v>35</v>
      </c>
      <c r="AJ18" s="1005">
        <f t="shared" si="16"/>
        <v>7</v>
      </c>
      <c r="AK18" s="1006">
        <v>24</v>
      </c>
      <c r="AL18" s="1007"/>
      <c r="AM18" s="1007">
        <v>6</v>
      </c>
      <c r="AN18" s="1007"/>
      <c r="AO18" s="1007"/>
      <c r="AP18" s="1008">
        <f t="shared" si="17"/>
        <v>11</v>
      </c>
      <c r="AQ18" s="1009"/>
    </row>
    <row r="19" spans="1:43" ht="20.25">
      <c r="A19" s="983"/>
      <c r="B19" s="984"/>
      <c r="C19" s="998" t="s">
        <v>73</v>
      </c>
      <c r="D19" s="999">
        <v>4.5</v>
      </c>
      <c r="E19" s="1000"/>
      <c r="F19" s="659">
        <v>1</v>
      </c>
      <c r="G19" s="658">
        <f t="shared" si="18"/>
        <v>4.5</v>
      </c>
      <c r="H19" s="68">
        <v>5</v>
      </c>
      <c r="I19" s="654">
        <f t="shared" si="1"/>
        <v>22.5</v>
      </c>
      <c r="J19" s="659">
        <v>2</v>
      </c>
      <c r="K19" s="658">
        <f t="shared" si="37"/>
        <v>9</v>
      </c>
      <c r="L19" s="68">
        <v>1</v>
      </c>
      <c r="M19" s="654">
        <f t="shared" si="41"/>
        <v>4.5</v>
      </c>
      <c r="N19" s="659"/>
      <c r="O19" s="658">
        <f t="shared" si="42"/>
        <v>0</v>
      </c>
      <c r="P19" s="657"/>
      <c r="Q19" s="654">
        <f t="shared" si="43"/>
        <v>0</v>
      </c>
      <c r="R19" s="68"/>
      <c r="S19" s="631">
        <f t="shared" si="44"/>
        <v>0</v>
      </c>
      <c r="T19" s="68"/>
      <c r="U19" s="631">
        <f t="shared" si="45"/>
        <v>0</v>
      </c>
      <c r="V19" s="659"/>
      <c r="W19" s="636">
        <f t="shared" si="46"/>
        <v>0</v>
      </c>
      <c r="X19" s="68"/>
      <c r="Y19" s="631">
        <f t="shared" si="47"/>
        <v>0</v>
      </c>
      <c r="Z19" s="659"/>
      <c r="AA19" s="636">
        <f t="shared" si="48"/>
        <v>0</v>
      </c>
      <c r="AB19" s="68"/>
      <c r="AC19" s="631">
        <f t="shared" si="49"/>
        <v>0</v>
      </c>
      <c r="AD19" s="660">
        <f>'Commande Alimentaire'!D21</f>
        <v>2.81</v>
      </c>
      <c r="AE19" s="639">
        <f t="shared" si="50"/>
        <v>3.372</v>
      </c>
      <c r="AF19" s="640"/>
      <c r="AG19" s="662">
        <f t="shared" si="38"/>
        <v>1.69</v>
      </c>
      <c r="AH19" s="1003">
        <f t="shared" si="39"/>
        <v>15.209999999999999</v>
      </c>
      <c r="AI19" s="1004">
        <f t="shared" si="40"/>
        <v>40.5</v>
      </c>
      <c r="AJ19" s="1005">
        <f t="shared" si="16"/>
        <v>9</v>
      </c>
      <c r="AK19" s="1006">
        <v>18</v>
      </c>
      <c r="AL19" s="1007"/>
      <c r="AM19" s="1007"/>
      <c r="AN19" s="1007"/>
      <c r="AO19" s="1007"/>
      <c r="AP19" s="1008">
        <f t="shared" si="17"/>
        <v>9</v>
      </c>
      <c r="AQ19" s="1009"/>
    </row>
    <row r="20" spans="1:43" ht="20.25">
      <c r="A20" s="983"/>
      <c r="B20" s="984"/>
      <c r="C20" s="998" t="s">
        <v>74</v>
      </c>
      <c r="D20" s="999">
        <v>5</v>
      </c>
      <c r="E20" s="1000"/>
      <c r="F20" s="659"/>
      <c r="G20" s="658">
        <f t="shared" si="18"/>
        <v>0</v>
      </c>
      <c r="H20" s="68"/>
      <c r="I20" s="654">
        <f t="shared" si="1"/>
        <v>0</v>
      </c>
      <c r="J20" s="659"/>
      <c r="K20" s="658">
        <f t="shared" si="37"/>
        <v>0</v>
      </c>
      <c r="L20" s="68">
        <v>1</v>
      </c>
      <c r="M20" s="654">
        <f t="shared" si="41"/>
        <v>5</v>
      </c>
      <c r="N20" s="659"/>
      <c r="O20" s="658">
        <f t="shared" si="42"/>
        <v>0</v>
      </c>
      <c r="P20" s="657"/>
      <c r="Q20" s="654">
        <f t="shared" si="43"/>
        <v>0</v>
      </c>
      <c r="R20" s="68"/>
      <c r="S20" s="631">
        <f t="shared" si="44"/>
        <v>0</v>
      </c>
      <c r="T20" s="68"/>
      <c r="U20" s="631">
        <f t="shared" si="45"/>
        <v>0</v>
      </c>
      <c r="V20" s="659"/>
      <c r="W20" s="636">
        <f t="shared" si="46"/>
        <v>0</v>
      </c>
      <c r="X20" s="68"/>
      <c r="Y20" s="631">
        <f t="shared" si="47"/>
        <v>0</v>
      </c>
      <c r="Z20" s="659"/>
      <c r="AA20" s="636">
        <f t="shared" si="48"/>
        <v>0</v>
      </c>
      <c r="AB20" s="68"/>
      <c r="AC20" s="631">
        <f t="shared" si="49"/>
        <v>0</v>
      </c>
      <c r="AD20" s="660">
        <f>'Commande Alimentaire'!D22</f>
        <v>3.16</v>
      </c>
      <c r="AE20" s="639">
        <f t="shared" si="50"/>
        <v>3.7920000000000003</v>
      </c>
      <c r="AF20" s="640"/>
      <c r="AG20" s="662">
        <f t="shared" si="38"/>
        <v>1.8399999999999999</v>
      </c>
      <c r="AH20" s="1003">
        <f t="shared" si="39"/>
        <v>1.8399999999999999</v>
      </c>
      <c r="AI20" s="1004">
        <f t="shared" si="40"/>
        <v>5</v>
      </c>
      <c r="AJ20" s="1005">
        <f t="shared" si="16"/>
        <v>1</v>
      </c>
      <c r="AK20" s="1006">
        <v>18</v>
      </c>
      <c r="AL20" s="1007"/>
      <c r="AM20" s="1007">
        <v>6</v>
      </c>
      <c r="AN20" s="1007"/>
      <c r="AO20" s="1007"/>
      <c r="AP20" s="1008">
        <f t="shared" si="17"/>
        <v>11</v>
      </c>
      <c r="AQ20" s="1009"/>
    </row>
    <row r="21" spans="1:43" ht="20.25">
      <c r="A21" s="983"/>
      <c r="B21" s="984"/>
      <c r="C21" s="998" t="s">
        <v>636</v>
      </c>
      <c r="D21" s="999">
        <v>4.5</v>
      </c>
      <c r="E21" s="1000"/>
      <c r="F21" s="659"/>
      <c r="G21" s="658">
        <f t="shared" si="18"/>
        <v>0</v>
      </c>
      <c r="H21" s="68">
        <v>2</v>
      </c>
      <c r="I21" s="654">
        <f t="shared" si="1"/>
        <v>9</v>
      </c>
      <c r="J21" s="659">
        <v>2</v>
      </c>
      <c r="K21" s="658">
        <f t="shared" si="37"/>
        <v>9</v>
      </c>
      <c r="L21" s="68">
        <v>1</v>
      </c>
      <c r="M21" s="654">
        <f t="shared" si="41"/>
        <v>4.5</v>
      </c>
      <c r="N21" s="659">
        <v>2</v>
      </c>
      <c r="O21" s="658">
        <f t="shared" si="42"/>
        <v>9</v>
      </c>
      <c r="P21" s="657"/>
      <c r="Q21" s="654">
        <f t="shared" si="43"/>
        <v>0</v>
      </c>
      <c r="R21" s="68"/>
      <c r="S21" s="631">
        <f t="shared" si="44"/>
        <v>0</v>
      </c>
      <c r="T21" s="68"/>
      <c r="U21" s="631">
        <f t="shared" si="45"/>
        <v>0</v>
      </c>
      <c r="V21" s="659"/>
      <c r="W21" s="636">
        <f t="shared" si="46"/>
        <v>0</v>
      </c>
      <c r="X21" s="68"/>
      <c r="Y21" s="631">
        <f t="shared" si="47"/>
        <v>0</v>
      </c>
      <c r="Z21" s="659"/>
      <c r="AA21" s="636">
        <f t="shared" si="48"/>
        <v>0</v>
      </c>
      <c r="AB21" s="68"/>
      <c r="AC21" s="631">
        <f t="shared" si="49"/>
        <v>0</v>
      </c>
      <c r="AD21" s="660">
        <f>'Commande Alimentaire'!D25</f>
        <v>2.8107</v>
      </c>
      <c r="AE21" s="639">
        <f t="shared" si="50"/>
        <v>3.37284</v>
      </c>
      <c r="AF21" s="640"/>
      <c r="AG21" s="662">
        <f t="shared" si="38"/>
        <v>1.6892999999999998</v>
      </c>
      <c r="AH21" s="1003">
        <f t="shared" si="39"/>
        <v>11.825099999999999</v>
      </c>
      <c r="AI21" s="1004">
        <f t="shared" si="40"/>
        <v>31.5</v>
      </c>
      <c r="AJ21" s="1005">
        <f t="shared" si="16"/>
        <v>7</v>
      </c>
      <c r="AK21" s="1006">
        <v>16</v>
      </c>
      <c r="AL21" s="1007"/>
      <c r="AM21" s="1007"/>
      <c r="AN21" s="1007"/>
      <c r="AO21" s="1007"/>
      <c r="AP21" s="1008">
        <f t="shared" si="17"/>
        <v>9</v>
      </c>
      <c r="AQ21" s="1009"/>
    </row>
    <row r="22" spans="1:43" ht="20.25">
      <c r="A22" s="983"/>
      <c r="B22" s="984"/>
      <c r="C22" s="998" t="s">
        <v>637</v>
      </c>
      <c r="D22" s="999">
        <v>5</v>
      </c>
      <c r="E22" s="1000"/>
      <c r="F22" s="659"/>
      <c r="G22" s="658">
        <f t="shared" si="18"/>
        <v>0</v>
      </c>
      <c r="H22" s="68"/>
      <c r="I22" s="654"/>
      <c r="J22" s="659"/>
      <c r="K22" s="658"/>
      <c r="L22" s="68"/>
      <c r="M22" s="654"/>
      <c r="N22" s="659"/>
      <c r="O22" s="658">
        <f t="shared" si="42"/>
        <v>0</v>
      </c>
      <c r="P22" s="657"/>
      <c r="Q22" s="654">
        <f t="shared" si="43"/>
        <v>0</v>
      </c>
      <c r="R22" s="68"/>
      <c r="S22" s="631">
        <f t="shared" si="44"/>
        <v>0</v>
      </c>
      <c r="T22" s="68"/>
      <c r="U22" s="631">
        <f t="shared" si="45"/>
        <v>0</v>
      </c>
      <c r="V22" s="659"/>
      <c r="W22" s="636">
        <f t="shared" si="46"/>
        <v>0</v>
      </c>
      <c r="X22" s="68"/>
      <c r="Y22" s="631">
        <f t="shared" si="47"/>
        <v>0</v>
      </c>
      <c r="Z22" s="659"/>
      <c r="AA22" s="636">
        <f t="shared" si="48"/>
        <v>0</v>
      </c>
      <c r="AB22" s="68"/>
      <c r="AC22" s="631">
        <f t="shared" si="49"/>
        <v>0</v>
      </c>
      <c r="AD22" s="660"/>
      <c r="AE22" s="639"/>
      <c r="AF22" s="640"/>
      <c r="AG22" s="662"/>
      <c r="AH22" s="1003"/>
      <c r="AI22" s="1004"/>
      <c r="AJ22" s="1005"/>
      <c r="AK22" s="1006"/>
      <c r="AL22" s="1007"/>
      <c r="AM22" s="1007">
        <v>6</v>
      </c>
      <c r="AN22" s="1007"/>
      <c r="AO22" s="1007"/>
      <c r="AP22" s="1008"/>
      <c r="AQ22" s="1009"/>
    </row>
    <row r="23" spans="1:43" ht="20.25">
      <c r="A23" s="983"/>
      <c r="B23" s="984"/>
      <c r="C23" s="998" t="s">
        <v>638</v>
      </c>
      <c r="D23" s="999">
        <v>4.5</v>
      </c>
      <c r="E23" s="1000"/>
      <c r="F23" s="659"/>
      <c r="G23" s="658">
        <f t="shared" si="18"/>
        <v>0</v>
      </c>
      <c r="H23" s="68"/>
      <c r="I23" s="654">
        <f aca="true" t="shared" si="51" ref="I23:I109">H23*D23</f>
        <v>0</v>
      </c>
      <c r="J23" s="659"/>
      <c r="K23" s="658">
        <f aca="true" t="shared" si="52" ref="K23:K32">J23*D23</f>
        <v>0</v>
      </c>
      <c r="L23" s="68"/>
      <c r="M23" s="654">
        <f aca="true" t="shared" si="53" ref="M23:M75">L23*D23</f>
        <v>0</v>
      </c>
      <c r="N23" s="659"/>
      <c r="O23" s="658">
        <f t="shared" si="42"/>
        <v>0</v>
      </c>
      <c r="P23" s="657"/>
      <c r="Q23" s="654">
        <f t="shared" si="43"/>
        <v>0</v>
      </c>
      <c r="R23" s="68"/>
      <c r="S23" s="631">
        <f t="shared" si="44"/>
        <v>0</v>
      </c>
      <c r="T23" s="68"/>
      <c r="U23" s="631">
        <f t="shared" si="45"/>
        <v>0</v>
      </c>
      <c r="V23" s="659"/>
      <c r="W23" s="636">
        <f t="shared" si="46"/>
        <v>0</v>
      </c>
      <c r="X23" s="68"/>
      <c r="Y23" s="631">
        <f t="shared" si="47"/>
        <v>0</v>
      </c>
      <c r="Z23" s="659"/>
      <c r="AA23" s="636">
        <f t="shared" si="48"/>
        <v>0</v>
      </c>
      <c r="AB23" s="68"/>
      <c r="AC23" s="631">
        <f t="shared" si="49"/>
        <v>0</v>
      </c>
      <c r="AD23" s="660">
        <f>'Commande Alimentaire'!D24</f>
        <v>2.8084</v>
      </c>
      <c r="AE23" s="639">
        <f aca="true" t="shared" si="54" ref="AE23:AE29">(AD23*20)/100+AD23</f>
        <v>3.3700799999999997</v>
      </c>
      <c r="AF23" s="640"/>
      <c r="AG23" s="662">
        <f aca="true" t="shared" si="55" ref="AG23:AG29">D23-AD23</f>
        <v>1.6916000000000002</v>
      </c>
      <c r="AH23" s="1003">
        <f aca="true" t="shared" si="56" ref="AH23:AH29">AG23*AJ23</f>
        <v>0</v>
      </c>
      <c r="AI23" s="1004">
        <f aca="true" t="shared" si="57" ref="AI23:AI32">SUM(AC23+AA23+Y23+W23+U23+S23+Q23+O23+M23+K23+I23+G23)</f>
        <v>0</v>
      </c>
      <c r="AJ23" s="1005">
        <f aca="true" t="shared" si="58" ref="AJ23:AJ94">SUM(F23+H23+J23+L23+N23+P23+R23+T23+V23+X23+Z23+AB23)</f>
        <v>0</v>
      </c>
      <c r="AK23" s="1006">
        <v>17</v>
      </c>
      <c r="AL23" s="1007"/>
      <c r="AM23" s="1007"/>
      <c r="AN23" s="1007"/>
      <c r="AO23" s="1007"/>
      <c r="AP23" s="1008">
        <f aca="true" t="shared" si="59" ref="AP23:AP94">(AK23+AL23)-AJ23-AM23+AN23</f>
        <v>17</v>
      </c>
      <c r="AQ23" s="1009"/>
    </row>
    <row r="24" spans="1:43" ht="20.25">
      <c r="A24" s="983"/>
      <c r="B24" s="984"/>
      <c r="C24" s="998" t="s">
        <v>82</v>
      </c>
      <c r="D24" s="999">
        <v>5</v>
      </c>
      <c r="E24" s="1000"/>
      <c r="F24" s="659"/>
      <c r="G24" s="658">
        <f t="shared" si="18"/>
        <v>0</v>
      </c>
      <c r="H24" s="68"/>
      <c r="I24" s="654">
        <f t="shared" si="51"/>
        <v>0</v>
      </c>
      <c r="J24" s="659"/>
      <c r="K24" s="658">
        <f t="shared" si="52"/>
        <v>0</v>
      </c>
      <c r="L24" s="68"/>
      <c r="M24" s="654">
        <f t="shared" si="53"/>
        <v>0</v>
      </c>
      <c r="N24" s="659"/>
      <c r="O24" s="658">
        <f t="shared" si="42"/>
        <v>0</v>
      </c>
      <c r="P24" s="657"/>
      <c r="Q24" s="654">
        <f t="shared" si="43"/>
        <v>0</v>
      </c>
      <c r="R24" s="68"/>
      <c r="S24" s="631">
        <f t="shared" si="44"/>
        <v>0</v>
      </c>
      <c r="T24" s="68"/>
      <c r="U24" s="631">
        <f t="shared" si="45"/>
        <v>0</v>
      </c>
      <c r="V24" s="659"/>
      <c r="W24" s="636">
        <f t="shared" si="46"/>
        <v>0</v>
      </c>
      <c r="X24" s="68"/>
      <c r="Y24" s="631">
        <f t="shared" si="47"/>
        <v>0</v>
      </c>
      <c r="Z24" s="659"/>
      <c r="AA24" s="636">
        <f t="shared" si="48"/>
        <v>0</v>
      </c>
      <c r="AB24" s="68"/>
      <c r="AC24" s="631">
        <f t="shared" si="49"/>
        <v>0</v>
      </c>
      <c r="AD24" s="660">
        <f>'Commande Alimentaire'!D29</f>
        <v>3.1008</v>
      </c>
      <c r="AE24" s="639">
        <f t="shared" si="54"/>
        <v>3.72096</v>
      </c>
      <c r="AF24" s="640"/>
      <c r="AG24" s="662">
        <f t="shared" si="55"/>
        <v>1.8992</v>
      </c>
      <c r="AH24" s="1003">
        <f t="shared" si="56"/>
        <v>0</v>
      </c>
      <c r="AI24" s="1004">
        <f t="shared" si="57"/>
        <v>0</v>
      </c>
      <c r="AJ24" s="1005">
        <f t="shared" si="58"/>
        <v>0</v>
      </c>
      <c r="AK24" s="1006">
        <v>34</v>
      </c>
      <c r="AL24" s="1007"/>
      <c r="AM24" s="1007"/>
      <c r="AN24" s="1007"/>
      <c r="AO24" s="1007"/>
      <c r="AP24" s="1008">
        <f t="shared" si="59"/>
        <v>34</v>
      </c>
      <c r="AQ24" s="1009"/>
    </row>
    <row r="25" spans="1:43" ht="20.25">
      <c r="A25" s="983"/>
      <c r="B25" s="984"/>
      <c r="C25" s="998" t="s">
        <v>639</v>
      </c>
      <c r="D25" s="999">
        <v>4.5</v>
      </c>
      <c r="E25" s="1000"/>
      <c r="F25" s="659"/>
      <c r="G25" s="658">
        <f t="shared" si="18"/>
        <v>0</v>
      </c>
      <c r="H25" s="68">
        <v>1</v>
      </c>
      <c r="I25" s="654">
        <f t="shared" si="51"/>
        <v>4.5</v>
      </c>
      <c r="J25" s="659">
        <v>1</v>
      </c>
      <c r="K25" s="658">
        <f t="shared" si="52"/>
        <v>4.5</v>
      </c>
      <c r="L25" s="68"/>
      <c r="M25" s="654">
        <f t="shared" si="53"/>
        <v>0</v>
      </c>
      <c r="N25" s="659"/>
      <c r="O25" s="658">
        <f t="shared" si="42"/>
        <v>0</v>
      </c>
      <c r="P25" s="657"/>
      <c r="Q25" s="654">
        <f t="shared" si="43"/>
        <v>0</v>
      </c>
      <c r="R25" s="68"/>
      <c r="S25" s="631">
        <f t="shared" si="44"/>
        <v>0</v>
      </c>
      <c r="T25" s="68"/>
      <c r="U25" s="631">
        <f t="shared" si="45"/>
        <v>0</v>
      </c>
      <c r="V25" s="659"/>
      <c r="W25" s="636">
        <f t="shared" si="46"/>
        <v>0</v>
      </c>
      <c r="X25" s="68"/>
      <c r="Y25" s="631">
        <f t="shared" si="47"/>
        <v>0</v>
      </c>
      <c r="Z25" s="659"/>
      <c r="AA25" s="636">
        <f t="shared" si="48"/>
        <v>0</v>
      </c>
      <c r="AB25" s="68"/>
      <c r="AC25" s="631">
        <f t="shared" si="49"/>
        <v>0</v>
      </c>
      <c r="AD25" s="660">
        <f>'Commande Alimentaire'!D28</f>
        <v>2.8107</v>
      </c>
      <c r="AE25" s="639">
        <f t="shared" si="54"/>
        <v>3.37284</v>
      </c>
      <c r="AF25" s="640"/>
      <c r="AG25" s="662">
        <f t="shared" si="55"/>
        <v>1.6892999999999998</v>
      </c>
      <c r="AH25" s="1003">
        <f t="shared" si="56"/>
        <v>3.3785999999999996</v>
      </c>
      <c r="AI25" s="1004">
        <f t="shared" si="57"/>
        <v>9</v>
      </c>
      <c r="AJ25" s="1005">
        <f t="shared" si="58"/>
        <v>2</v>
      </c>
      <c r="AK25" s="1006">
        <v>21</v>
      </c>
      <c r="AL25" s="1007"/>
      <c r="AM25" s="1007"/>
      <c r="AN25" s="1007"/>
      <c r="AO25" s="1007"/>
      <c r="AP25" s="1008">
        <f t="shared" si="59"/>
        <v>19</v>
      </c>
      <c r="AQ25" s="1009"/>
    </row>
    <row r="26" spans="1:43" ht="20.25">
      <c r="A26" s="983"/>
      <c r="B26" s="984"/>
      <c r="C26" s="998" t="s">
        <v>83</v>
      </c>
      <c r="D26" s="999">
        <v>4</v>
      </c>
      <c r="E26" s="1000"/>
      <c r="F26" s="659"/>
      <c r="G26" s="658">
        <f t="shared" si="18"/>
        <v>0</v>
      </c>
      <c r="H26" s="68"/>
      <c r="I26" s="654">
        <f t="shared" si="51"/>
        <v>0</v>
      </c>
      <c r="J26" s="659"/>
      <c r="K26" s="658">
        <f t="shared" si="52"/>
        <v>0</v>
      </c>
      <c r="L26" s="68"/>
      <c r="M26" s="654">
        <f t="shared" si="53"/>
        <v>0</v>
      </c>
      <c r="N26" s="659"/>
      <c r="O26" s="658">
        <f t="shared" si="42"/>
        <v>0</v>
      </c>
      <c r="P26" s="657"/>
      <c r="Q26" s="654">
        <f t="shared" si="43"/>
        <v>0</v>
      </c>
      <c r="R26" s="68"/>
      <c r="S26" s="631">
        <f t="shared" si="44"/>
        <v>0</v>
      </c>
      <c r="T26" s="68"/>
      <c r="U26" s="631">
        <f t="shared" si="45"/>
        <v>0</v>
      </c>
      <c r="V26" s="659"/>
      <c r="W26" s="636">
        <f t="shared" si="46"/>
        <v>0</v>
      </c>
      <c r="X26" s="68"/>
      <c r="Y26" s="631">
        <f t="shared" si="47"/>
        <v>0</v>
      </c>
      <c r="Z26" s="659"/>
      <c r="AA26" s="636">
        <f t="shared" si="48"/>
        <v>0</v>
      </c>
      <c r="AB26" s="68"/>
      <c r="AC26" s="631">
        <f t="shared" si="49"/>
        <v>0</v>
      </c>
      <c r="AD26" s="660">
        <f>'Commande Alimentaire'!D30</f>
        <v>2.422</v>
      </c>
      <c r="AE26" s="639">
        <f t="shared" si="54"/>
        <v>2.9064</v>
      </c>
      <c r="AF26" s="640"/>
      <c r="AG26" s="662">
        <f t="shared" si="55"/>
        <v>1.5779999999999998</v>
      </c>
      <c r="AH26" s="1003">
        <f t="shared" si="56"/>
        <v>0</v>
      </c>
      <c r="AI26" s="1004">
        <f t="shared" si="57"/>
        <v>0</v>
      </c>
      <c r="AJ26" s="1005">
        <f t="shared" si="58"/>
        <v>0</v>
      </c>
      <c r="AK26" s="1006">
        <v>10</v>
      </c>
      <c r="AL26" s="1007"/>
      <c r="AM26" s="1007">
        <v>6</v>
      </c>
      <c r="AN26" s="1007"/>
      <c r="AO26" s="1007"/>
      <c r="AP26" s="1008">
        <f t="shared" si="59"/>
        <v>4</v>
      </c>
      <c r="AQ26" s="1009"/>
    </row>
    <row r="27" spans="1:43" ht="20.25">
      <c r="A27" s="983"/>
      <c r="B27" s="984"/>
      <c r="C27" s="998" t="s">
        <v>640</v>
      </c>
      <c r="D27" s="999">
        <v>4.5</v>
      </c>
      <c r="E27" s="1000"/>
      <c r="F27" s="659"/>
      <c r="G27" s="658">
        <f t="shared" si="18"/>
        <v>0</v>
      </c>
      <c r="H27" s="68"/>
      <c r="I27" s="654">
        <f t="shared" si="51"/>
        <v>0</v>
      </c>
      <c r="J27" s="659"/>
      <c r="K27" s="658">
        <f t="shared" si="52"/>
        <v>0</v>
      </c>
      <c r="L27" s="68"/>
      <c r="M27" s="654">
        <f t="shared" si="53"/>
        <v>0</v>
      </c>
      <c r="N27" s="659"/>
      <c r="O27" s="658">
        <f t="shared" si="42"/>
        <v>0</v>
      </c>
      <c r="P27" s="657"/>
      <c r="Q27" s="654">
        <f t="shared" si="43"/>
        <v>0</v>
      </c>
      <c r="R27" s="68"/>
      <c r="S27" s="631">
        <f t="shared" si="44"/>
        <v>0</v>
      </c>
      <c r="T27" s="68"/>
      <c r="U27" s="631">
        <f t="shared" si="45"/>
        <v>0</v>
      </c>
      <c r="V27" s="659"/>
      <c r="W27" s="636">
        <f t="shared" si="46"/>
        <v>0</v>
      </c>
      <c r="X27" s="68"/>
      <c r="Y27" s="631">
        <f t="shared" si="47"/>
        <v>0</v>
      </c>
      <c r="Z27" s="659"/>
      <c r="AA27" s="636">
        <f t="shared" si="48"/>
        <v>0</v>
      </c>
      <c r="AB27" s="68"/>
      <c r="AC27" s="631">
        <f t="shared" si="49"/>
        <v>0</v>
      </c>
      <c r="AD27" s="660">
        <v>2.63</v>
      </c>
      <c r="AE27" s="639">
        <f t="shared" si="54"/>
        <v>3.1559999999999997</v>
      </c>
      <c r="AF27" s="640"/>
      <c r="AG27" s="662">
        <f t="shared" si="55"/>
        <v>1.87</v>
      </c>
      <c r="AH27" s="1003">
        <f t="shared" si="56"/>
        <v>0</v>
      </c>
      <c r="AI27" s="1004">
        <f t="shared" si="57"/>
        <v>0</v>
      </c>
      <c r="AJ27" s="1005">
        <f t="shared" si="58"/>
        <v>0</v>
      </c>
      <c r="AK27" s="1006">
        <v>6</v>
      </c>
      <c r="AL27" s="1007"/>
      <c r="AM27" s="1007">
        <v>6</v>
      </c>
      <c r="AN27" s="1007"/>
      <c r="AO27" s="1007"/>
      <c r="AP27" s="1008">
        <f t="shared" si="59"/>
        <v>0</v>
      </c>
      <c r="AQ27" s="1009"/>
    </row>
    <row r="28" spans="1:43" ht="20.25">
      <c r="A28" s="983"/>
      <c r="B28" s="984"/>
      <c r="C28" s="998" t="s">
        <v>641</v>
      </c>
      <c r="D28" s="999">
        <v>4.8</v>
      </c>
      <c r="E28" s="1000"/>
      <c r="F28" s="659"/>
      <c r="G28" s="658">
        <f t="shared" si="18"/>
        <v>0</v>
      </c>
      <c r="H28" s="68">
        <v>1</v>
      </c>
      <c r="I28" s="654">
        <f t="shared" si="51"/>
        <v>4.8</v>
      </c>
      <c r="J28" s="659"/>
      <c r="K28" s="658">
        <f t="shared" si="52"/>
        <v>0</v>
      </c>
      <c r="L28" s="68"/>
      <c r="M28" s="654">
        <f t="shared" si="53"/>
        <v>0</v>
      </c>
      <c r="N28" s="659"/>
      <c r="O28" s="658">
        <f t="shared" si="42"/>
        <v>0</v>
      </c>
      <c r="P28" s="657"/>
      <c r="Q28" s="654">
        <f t="shared" si="43"/>
        <v>0</v>
      </c>
      <c r="R28" s="68"/>
      <c r="S28" s="631">
        <f t="shared" si="44"/>
        <v>0</v>
      </c>
      <c r="T28" s="68"/>
      <c r="U28" s="631">
        <f t="shared" si="45"/>
        <v>0</v>
      </c>
      <c r="V28" s="659"/>
      <c r="W28" s="636">
        <f t="shared" si="46"/>
        <v>0</v>
      </c>
      <c r="X28" s="68"/>
      <c r="Y28" s="631">
        <f t="shared" si="47"/>
        <v>0</v>
      </c>
      <c r="Z28" s="659"/>
      <c r="AA28" s="636">
        <f t="shared" si="48"/>
        <v>0</v>
      </c>
      <c r="AB28" s="68"/>
      <c r="AC28" s="631">
        <f t="shared" si="49"/>
        <v>0</v>
      </c>
      <c r="AD28" s="660">
        <f>'Commande Alimentaire'!D26</f>
        <v>3.0087</v>
      </c>
      <c r="AE28" s="639">
        <f t="shared" si="54"/>
        <v>3.61044</v>
      </c>
      <c r="AF28" s="640"/>
      <c r="AG28" s="662">
        <f t="shared" si="55"/>
        <v>1.7912999999999997</v>
      </c>
      <c r="AH28" s="1003">
        <f t="shared" si="56"/>
        <v>1.7912999999999997</v>
      </c>
      <c r="AI28" s="1004">
        <f t="shared" si="57"/>
        <v>4.8</v>
      </c>
      <c r="AJ28" s="1005">
        <f t="shared" si="58"/>
        <v>1</v>
      </c>
      <c r="AK28" s="1006">
        <v>16</v>
      </c>
      <c r="AL28" s="1007"/>
      <c r="AM28" s="1007"/>
      <c r="AN28" s="1007"/>
      <c r="AO28" s="1007"/>
      <c r="AP28" s="1008">
        <f t="shared" si="59"/>
        <v>15</v>
      </c>
      <c r="AQ28" s="1009"/>
    </row>
    <row r="29" spans="1:43" ht="20.25">
      <c r="A29" s="983"/>
      <c r="B29" s="984"/>
      <c r="C29" s="1039" t="s">
        <v>642</v>
      </c>
      <c r="D29" s="1011">
        <v>3.15</v>
      </c>
      <c r="E29" s="1012"/>
      <c r="F29" s="706"/>
      <c r="G29" s="705">
        <f t="shared" si="18"/>
        <v>0</v>
      </c>
      <c r="H29" s="703"/>
      <c r="I29" s="700">
        <f t="shared" si="51"/>
        <v>0</v>
      </c>
      <c r="J29" s="706"/>
      <c r="K29" s="705">
        <f t="shared" si="52"/>
        <v>0</v>
      </c>
      <c r="L29" s="703"/>
      <c r="M29" s="700">
        <f t="shared" si="53"/>
        <v>0</v>
      </c>
      <c r="N29" s="706"/>
      <c r="O29" s="705">
        <f t="shared" si="42"/>
        <v>0</v>
      </c>
      <c r="P29" s="704"/>
      <c r="Q29" s="700">
        <f t="shared" si="43"/>
        <v>0</v>
      </c>
      <c r="R29" s="703"/>
      <c r="S29" s="631">
        <f t="shared" si="44"/>
        <v>0</v>
      </c>
      <c r="T29" s="703"/>
      <c r="U29" s="631">
        <f t="shared" si="45"/>
        <v>0</v>
      </c>
      <c r="V29" s="706"/>
      <c r="W29" s="636">
        <f t="shared" si="46"/>
        <v>0</v>
      </c>
      <c r="X29" s="703"/>
      <c r="Y29" s="631">
        <f t="shared" si="47"/>
        <v>0</v>
      </c>
      <c r="Z29" s="706"/>
      <c r="AA29" s="636">
        <f t="shared" si="48"/>
        <v>0</v>
      </c>
      <c r="AB29" s="703"/>
      <c r="AC29" s="631">
        <f t="shared" si="49"/>
        <v>0</v>
      </c>
      <c r="AD29" s="707">
        <f>'Commande Alimentaire'!D37</f>
        <v>1.81</v>
      </c>
      <c r="AE29" s="639">
        <f t="shared" si="54"/>
        <v>2.172</v>
      </c>
      <c r="AF29" s="640"/>
      <c r="AG29" s="709">
        <f t="shared" si="55"/>
        <v>1.3399999999999999</v>
      </c>
      <c r="AH29" s="1024">
        <f t="shared" si="56"/>
        <v>0</v>
      </c>
      <c r="AI29" s="1004">
        <f t="shared" si="57"/>
        <v>0</v>
      </c>
      <c r="AJ29" s="1040">
        <f t="shared" si="58"/>
        <v>0</v>
      </c>
      <c r="AK29" s="1041">
        <f>14+17</f>
        <v>31</v>
      </c>
      <c r="AL29" s="1042"/>
      <c r="AM29" s="1042">
        <v>6</v>
      </c>
      <c r="AN29" s="1042"/>
      <c r="AO29" s="1042"/>
      <c r="AP29" s="1043">
        <f t="shared" si="59"/>
        <v>25</v>
      </c>
      <c r="AQ29" s="1044"/>
    </row>
    <row r="30" spans="1:43" ht="21" customHeight="1">
      <c r="A30" s="983"/>
      <c r="B30" s="1045" t="s">
        <v>643</v>
      </c>
      <c r="C30" s="1046" t="s">
        <v>644</v>
      </c>
      <c r="D30" s="986">
        <v>7</v>
      </c>
      <c r="E30" s="987"/>
      <c r="F30" s="637"/>
      <c r="G30" s="636">
        <f aca="true" t="shared" si="60" ref="G30:G32">F30*D30</f>
        <v>0</v>
      </c>
      <c r="H30" s="634"/>
      <c r="I30" s="631">
        <f t="shared" si="51"/>
        <v>0</v>
      </c>
      <c r="J30" s="637"/>
      <c r="K30" s="636">
        <f t="shared" si="52"/>
        <v>0</v>
      </c>
      <c r="L30" s="634"/>
      <c r="M30" s="631">
        <f t="shared" si="53"/>
        <v>0</v>
      </c>
      <c r="N30" s="637"/>
      <c r="O30" s="636">
        <f t="shared" si="42"/>
        <v>0</v>
      </c>
      <c r="P30" s="635"/>
      <c r="Q30" s="631">
        <f t="shared" si="43"/>
        <v>0</v>
      </c>
      <c r="R30" s="634"/>
      <c r="S30" s="631">
        <f t="shared" si="44"/>
        <v>0</v>
      </c>
      <c r="T30" s="634"/>
      <c r="U30" s="631">
        <f t="shared" si="45"/>
        <v>0</v>
      </c>
      <c r="V30" s="637"/>
      <c r="W30" s="636">
        <f t="shared" si="46"/>
        <v>0</v>
      </c>
      <c r="X30" s="634"/>
      <c r="Y30" s="631">
        <f t="shared" si="47"/>
        <v>0</v>
      </c>
      <c r="Z30" s="637"/>
      <c r="AA30" s="636">
        <f t="shared" si="48"/>
        <v>0</v>
      </c>
      <c r="AB30" s="634"/>
      <c r="AC30" s="631">
        <f t="shared" si="49"/>
        <v>0</v>
      </c>
      <c r="AD30" s="638">
        <f>'Commande Alimentaire'!D49</f>
        <v>4.95</v>
      </c>
      <c r="AE30" s="639">
        <f aca="true" t="shared" si="61" ref="AE30:AE32">(AD30*5.5)/100+AD30</f>
        <v>5.22225</v>
      </c>
      <c r="AF30" s="1047">
        <v>0.055</v>
      </c>
      <c r="AG30" s="641"/>
      <c r="AH30" s="1025"/>
      <c r="AI30" s="1004">
        <f t="shared" si="57"/>
        <v>0</v>
      </c>
      <c r="AJ30" s="1048">
        <f t="shared" si="58"/>
        <v>0</v>
      </c>
      <c r="AK30" s="1049">
        <v>8</v>
      </c>
      <c r="AL30" s="1050"/>
      <c r="AM30" s="1050"/>
      <c r="AN30" s="1050">
        <v>3</v>
      </c>
      <c r="AO30" s="1050"/>
      <c r="AP30" s="1051">
        <f t="shared" si="59"/>
        <v>11</v>
      </c>
      <c r="AQ30" s="1052" t="s">
        <v>645</v>
      </c>
    </row>
    <row r="31" spans="1:43" ht="20.25">
      <c r="A31" s="983"/>
      <c r="B31" s="1045"/>
      <c r="C31" s="1053" t="s">
        <v>646</v>
      </c>
      <c r="D31" s="999">
        <v>7</v>
      </c>
      <c r="E31" s="1000"/>
      <c r="F31" s="659"/>
      <c r="G31" s="658">
        <f t="shared" si="60"/>
        <v>0</v>
      </c>
      <c r="H31" s="68"/>
      <c r="I31" s="654">
        <f t="shared" si="51"/>
        <v>0</v>
      </c>
      <c r="J31" s="659"/>
      <c r="K31" s="658">
        <f t="shared" si="52"/>
        <v>0</v>
      </c>
      <c r="L31" s="68"/>
      <c r="M31" s="654">
        <f t="shared" si="53"/>
        <v>0</v>
      </c>
      <c r="N31" s="659"/>
      <c r="O31" s="658">
        <f t="shared" si="42"/>
        <v>0</v>
      </c>
      <c r="P31" s="657"/>
      <c r="Q31" s="654">
        <f t="shared" si="43"/>
        <v>0</v>
      </c>
      <c r="R31" s="68"/>
      <c r="S31" s="654">
        <f t="shared" si="44"/>
        <v>0</v>
      </c>
      <c r="T31" s="68"/>
      <c r="U31" s="654">
        <f t="shared" si="45"/>
        <v>0</v>
      </c>
      <c r="V31" s="659"/>
      <c r="W31" s="658">
        <f t="shared" si="46"/>
        <v>0</v>
      </c>
      <c r="X31" s="68"/>
      <c r="Y31" s="654">
        <f t="shared" si="47"/>
        <v>0</v>
      </c>
      <c r="Z31" s="659"/>
      <c r="AA31" s="658">
        <f t="shared" si="48"/>
        <v>0</v>
      </c>
      <c r="AB31" s="68"/>
      <c r="AC31" s="654">
        <f t="shared" si="49"/>
        <v>0</v>
      </c>
      <c r="AD31" s="660">
        <f>'Commande Alimentaire'!D51</f>
        <v>4.95</v>
      </c>
      <c r="AE31" s="639">
        <f t="shared" si="61"/>
        <v>5.22225</v>
      </c>
      <c r="AF31" s="1047"/>
      <c r="AG31" s="662"/>
      <c r="AH31" s="1003"/>
      <c r="AI31" s="1004">
        <f t="shared" si="57"/>
        <v>0</v>
      </c>
      <c r="AJ31" s="1005">
        <f t="shared" si="58"/>
        <v>0</v>
      </c>
      <c r="AK31" s="1006">
        <v>7</v>
      </c>
      <c r="AL31" s="1007"/>
      <c r="AM31" s="1007"/>
      <c r="AN31" s="1007">
        <v>5</v>
      </c>
      <c r="AO31" s="1007"/>
      <c r="AP31" s="1008">
        <f t="shared" si="59"/>
        <v>12</v>
      </c>
      <c r="AQ31" s="1052"/>
    </row>
    <row r="32" spans="1:43" ht="20.25">
      <c r="A32" s="983"/>
      <c r="B32" s="1045"/>
      <c r="C32" s="1053" t="s">
        <v>647</v>
      </c>
      <c r="D32" s="999">
        <v>7</v>
      </c>
      <c r="E32" s="1000"/>
      <c r="F32" s="659"/>
      <c r="G32" s="658">
        <f t="shared" si="60"/>
        <v>0</v>
      </c>
      <c r="H32" s="68"/>
      <c r="I32" s="654">
        <f t="shared" si="51"/>
        <v>0</v>
      </c>
      <c r="J32" s="659">
        <v>1</v>
      </c>
      <c r="K32" s="658">
        <f t="shared" si="52"/>
        <v>7</v>
      </c>
      <c r="L32" s="68"/>
      <c r="M32" s="654">
        <f t="shared" si="53"/>
        <v>0</v>
      </c>
      <c r="N32" s="659"/>
      <c r="O32" s="658">
        <f t="shared" si="42"/>
        <v>0</v>
      </c>
      <c r="P32" s="657"/>
      <c r="Q32" s="654">
        <f t="shared" si="43"/>
        <v>0</v>
      </c>
      <c r="R32" s="68"/>
      <c r="S32" s="654">
        <f t="shared" si="44"/>
        <v>0</v>
      </c>
      <c r="T32" s="68"/>
      <c r="U32" s="654">
        <f t="shared" si="45"/>
        <v>0</v>
      </c>
      <c r="V32" s="659"/>
      <c r="W32" s="658">
        <f t="shared" si="46"/>
        <v>0</v>
      </c>
      <c r="X32" s="68"/>
      <c r="Y32" s="654">
        <f t="shared" si="47"/>
        <v>0</v>
      </c>
      <c r="Z32" s="659"/>
      <c r="AA32" s="658">
        <f t="shared" si="48"/>
        <v>0</v>
      </c>
      <c r="AB32" s="68"/>
      <c r="AC32" s="654">
        <f t="shared" si="49"/>
        <v>0</v>
      </c>
      <c r="AD32" s="660">
        <f>'Commande Alimentaire'!D50</f>
        <v>4.95</v>
      </c>
      <c r="AE32" s="639">
        <f t="shared" si="61"/>
        <v>5.22225</v>
      </c>
      <c r="AF32" s="1047"/>
      <c r="AG32" s="662"/>
      <c r="AH32" s="1003"/>
      <c r="AI32" s="1004">
        <f t="shared" si="57"/>
        <v>7</v>
      </c>
      <c r="AJ32" s="1005">
        <f t="shared" si="58"/>
        <v>1</v>
      </c>
      <c r="AK32" s="1006">
        <v>5</v>
      </c>
      <c r="AL32" s="1007"/>
      <c r="AM32" s="1007"/>
      <c r="AN32" s="1007">
        <v>3</v>
      </c>
      <c r="AO32" s="1007"/>
      <c r="AP32" s="1008">
        <f t="shared" si="59"/>
        <v>7</v>
      </c>
      <c r="AQ32" s="1052"/>
    </row>
    <row r="33" spans="1:43" ht="20.25">
      <c r="A33" s="983"/>
      <c r="B33" s="1045"/>
      <c r="C33" s="1046" t="s">
        <v>648</v>
      </c>
      <c r="D33" s="1032">
        <v>7</v>
      </c>
      <c r="E33" s="1033"/>
      <c r="F33" s="683"/>
      <c r="G33" s="682"/>
      <c r="H33" s="680"/>
      <c r="I33" s="677">
        <f t="shared" si="51"/>
        <v>0</v>
      </c>
      <c r="J33" s="683"/>
      <c r="K33" s="682"/>
      <c r="L33" s="680"/>
      <c r="M33" s="677">
        <f t="shared" si="53"/>
        <v>0</v>
      </c>
      <c r="N33" s="683"/>
      <c r="O33" s="682">
        <f t="shared" si="42"/>
        <v>0</v>
      </c>
      <c r="P33" s="681">
        <v>1</v>
      </c>
      <c r="Q33" s="677">
        <f t="shared" si="43"/>
        <v>7</v>
      </c>
      <c r="R33" s="680"/>
      <c r="S33" s="677">
        <f t="shared" si="44"/>
        <v>0</v>
      </c>
      <c r="T33" s="680"/>
      <c r="U33" s="677">
        <f t="shared" si="45"/>
        <v>0</v>
      </c>
      <c r="V33" s="683"/>
      <c r="W33" s="682">
        <f t="shared" si="46"/>
        <v>0</v>
      </c>
      <c r="X33" s="680"/>
      <c r="Y33" s="677">
        <f t="shared" si="47"/>
        <v>0</v>
      </c>
      <c r="Z33" s="683"/>
      <c r="AA33" s="682">
        <f t="shared" si="48"/>
        <v>0</v>
      </c>
      <c r="AB33" s="680"/>
      <c r="AC33" s="677">
        <f t="shared" si="49"/>
        <v>0</v>
      </c>
      <c r="AD33" s="684"/>
      <c r="AE33" s="845"/>
      <c r="AF33" s="1054"/>
      <c r="AG33" s="686"/>
      <c r="AH33" s="1055"/>
      <c r="AI33" s="1004"/>
      <c r="AJ33" s="1005">
        <f t="shared" si="58"/>
        <v>1</v>
      </c>
      <c r="AK33" s="1006">
        <v>0</v>
      </c>
      <c r="AL33" s="1007">
        <v>20</v>
      </c>
      <c r="AM33" s="1007">
        <v>15</v>
      </c>
      <c r="AN33" s="1007"/>
      <c r="AO33" s="1007"/>
      <c r="AP33" s="1008">
        <f t="shared" si="59"/>
        <v>4</v>
      </c>
      <c r="AQ33" s="1009"/>
    </row>
    <row r="34" spans="1:43" ht="20.25">
      <c r="A34" s="983"/>
      <c r="B34" s="1045"/>
      <c r="C34" s="1053" t="s">
        <v>649</v>
      </c>
      <c r="D34" s="1032">
        <v>7</v>
      </c>
      <c r="E34" s="1033"/>
      <c r="F34" s="683"/>
      <c r="G34" s="682"/>
      <c r="H34" s="680"/>
      <c r="I34" s="677">
        <f t="shared" si="51"/>
        <v>0</v>
      </c>
      <c r="J34" s="683"/>
      <c r="K34" s="682"/>
      <c r="L34" s="680"/>
      <c r="M34" s="677">
        <f t="shared" si="53"/>
        <v>0</v>
      </c>
      <c r="N34" s="683"/>
      <c r="O34" s="682">
        <f t="shared" si="42"/>
        <v>0</v>
      </c>
      <c r="P34" s="681"/>
      <c r="Q34" s="677">
        <f t="shared" si="43"/>
        <v>0</v>
      </c>
      <c r="R34" s="680"/>
      <c r="S34" s="677">
        <f t="shared" si="44"/>
        <v>0</v>
      </c>
      <c r="T34" s="680"/>
      <c r="U34" s="677">
        <f t="shared" si="45"/>
        <v>0</v>
      </c>
      <c r="V34" s="683"/>
      <c r="W34" s="682">
        <f t="shared" si="46"/>
        <v>0</v>
      </c>
      <c r="X34" s="680"/>
      <c r="Y34" s="677">
        <f t="shared" si="47"/>
        <v>0</v>
      </c>
      <c r="Z34" s="683"/>
      <c r="AA34" s="682">
        <f t="shared" si="48"/>
        <v>0</v>
      </c>
      <c r="AB34" s="680"/>
      <c r="AC34" s="677">
        <f t="shared" si="49"/>
        <v>0</v>
      </c>
      <c r="AD34" s="684"/>
      <c r="AE34" s="845"/>
      <c r="AF34" s="1054"/>
      <c r="AG34" s="686"/>
      <c r="AH34" s="1055"/>
      <c r="AI34" s="1004"/>
      <c r="AJ34" s="1005">
        <f t="shared" si="58"/>
        <v>0</v>
      </c>
      <c r="AK34" s="1006">
        <v>0</v>
      </c>
      <c r="AL34" s="1007">
        <v>20</v>
      </c>
      <c r="AM34" s="1007">
        <v>13</v>
      </c>
      <c r="AN34" s="1007"/>
      <c r="AO34" s="1007"/>
      <c r="AP34" s="1008">
        <f t="shared" si="59"/>
        <v>7</v>
      </c>
      <c r="AQ34" s="1009"/>
    </row>
    <row r="35" spans="1:43" ht="20.25">
      <c r="A35" s="983"/>
      <c r="B35" s="1045"/>
      <c r="C35" s="1053" t="s">
        <v>650</v>
      </c>
      <c r="D35" s="1032">
        <v>7</v>
      </c>
      <c r="E35" s="1033"/>
      <c r="F35" s="683"/>
      <c r="G35" s="682"/>
      <c r="H35" s="680"/>
      <c r="I35" s="677">
        <f t="shared" si="51"/>
        <v>0</v>
      </c>
      <c r="J35" s="683"/>
      <c r="K35" s="682"/>
      <c r="L35" s="680"/>
      <c r="M35" s="677">
        <f t="shared" si="53"/>
        <v>0</v>
      </c>
      <c r="N35" s="683"/>
      <c r="O35" s="682">
        <f t="shared" si="42"/>
        <v>0</v>
      </c>
      <c r="P35" s="681"/>
      <c r="Q35" s="677">
        <f t="shared" si="43"/>
        <v>0</v>
      </c>
      <c r="R35" s="680"/>
      <c r="S35" s="677">
        <f t="shared" si="44"/>
        <v>0</v>
      </c>
      <c r="T35" s="680"/>
      <c r="U35" s="677">
        <f t="shared" si="45"/>
        <v>0</v>
      </c>
      <c r="V35" s="683"/>
      <c r="W35" s="682">
        <f t="shared" si="46"/>
        <v>0</v>
      </c>
      <c r="X35" s="680"/>
      <c r="Y35" s="677">
        <f t="shared" si="47"/>
        <v>0</v>
      </c>
      <c r="Z35" s="683"/>
      <c r="AA35" s="682">
        <f t="shared" si="48"/>
        <v>0</v>
      </c>
      <c r="AB35" s="680"/>
      <c r="AC35" s="677">
        <f t="shared" si="49"/>
        <v>0</v>
      </c>
      <c r="AD35" s="684"/>
      <c r="AE35" s="845"/>
      <c r="AF35" s="1054"/>
      <c r="AG35" s="686"/>
      <c r="AH35" s="1055"/>
      <c r="AI35" s="1004"/>
      <c r="AJ35" s="1005">
        <f t="shared" si="58"/>
        <v>0</v>
      </c>
      <c r="AK35" s="1006">
        <v>0</v>
      </c>
      <c r="AL35" s="1007">
        <v>20</v>
      </c>
      <c r="AM35" s="1007">
        <v>13</v>
      </c>
      <c r="AN35" s="1007"/>
      <c r="AO35" s="1007"/>
      <c r="AP35" s="1008">
        <f t="shared" si="59"/>
        <v>7</v>
      </c>
      <c r="AQ35" s="1009"/>
    </row>
    <row r="36" spans="1:43" ht="20.25">
      <c r="A36" s="983"/>
      <c r="B36" s="1045"/>
      <c r="C36" s="1056" t="s">
        <v>118</v>
      </c>
      <c r="D36" s="1032">
        <v>15</v>
      </c>
      <c r="E36" s="1033"/>
      <c r="F36" s="683"/>
      <c r="G36" s="682">
        <f>F36*D36</f>
        <v>0</v>
      </c>
      <c r="H36" s="680"/>
      <c r="I36" s="677">
        <f t="shared" si="51"/>
        <v>0</v>
      </c>
      <c r="J36" s="683"/>
      <c r="K36" s="682">
        <f>J36*D36</f>
        <v>0</v>
      </c>
      <c r="L36" s="680"/>
      <c r="M36" s="677">
        <f t="shared" si="53"/>
        <v>0</v>
      </c>
      <c r="N36" s="683"/>
      <c r="O36" s="682">
        <f t="shared" si="42"/>
        <v>0</v>
      </c>
      <c r="P36" s="681">
        <v>1</v>
      </c>
      <c r="Q36" s="677">
        <f t="shared" si="43"/>
        <v>15</v>
      </c>
      <c r="R36" s="680"/>
      <c r="S36" s="677">
        <f t="shared" si="44"/>
        <v>0</v>
      </c>
      <c r="T36" s="680"/>
      <c r="U36" s="677">
        <f t="shared" si="45"/>
        <v>0</v>
      </c>
      <c r="V36" s="683"/>
      <c r="W36" s="682">
        <f t="shared" si="46"/>
        <v>0</v>
      </c>
      <c r="X36" s="680"/>
      <c r="Y36" s="677">
        <f t="shared" si="47"/>
        <v>0</v>
      </c>
      <c r="Z36" s="683"/>
      <c r="AA36" s="682">
        <f t="shared" si="48"/>
        <v>0</v>
      </c>
      <c r="AB36" s="680"/>
      <c r="AC36" s="677">
        <f t="shared" si="49"/>
        <v>0</v>
      </c>
      <c r="AD36" s="684">
        <f>'Commande Alimentaire'!D55</f>
        <v>10</v>
      </c>
      <c r="AE36" s="685">
        <f>(AD36*20)/100+AD36</f>
        <v>12</v>
      </c>
      <c r="AF36" s="1057">
        <v>0.2</v>
      </c>
      <c r="AG36" s="686"/>
      <c r="AH36" s="1055"/>
      <c r="AI36" s="1058">
        <f>SUM(AC36+AA36+Y36+W36+U36+S36+Q36+O36+M36+K36+I36+G36)</f>
        <v>15</v>
      </c>
      <c r="AJ36" s="1040">
        <f t="shared" si="58"/>
        <v>1</v>
      </c>
      <c r="AK36" s="1041">
        <v>18</v>
      </c>
      <c r="AL36" s="1042">
        <v>10</v>
      </c>
      <c r="AM36" s="1042">
        <v>17</v>
      </c>
      <c r="AN36" s="1042"/>
      <c r="AO36" s="1042"/>
      <c r="AP36" s="1043">
        <f t="shared" si="59"/>
        <v>10</v>
      </c>
      <c r="AQ36" s="1044"/>
    </row>
    <row r="37" spans="1:43" ht="21.75" customHeight="1">
      <c r="A37" s="983"/>
      <c r="B37" s="1059" t="s">
        <v>106</v>
      </c>
      <c r="C37" s="1060" t="s">
        <v>651</v>
      </c>
      <c r="D37" s="1061">
        <v>6.5</v>
      </c>
      <c r="E37" s="1062"/>
      <c r="F37" s="1063"/>
      <c r="G37" s="1064"/>
      <c r="H37" s="1065"/>
      <c r="I37" s="1066">
        <f t="shared" si="51"/>
        <v>0</v>
      </c>
      <c r="J37" s="1063"/>
      <c r="K37" s="1064"/>
      <c r="L37" s="1065"/>
      <c r="M37" s="1066">
        <f t="shared" si="53"/>
        <v>0</v>
      </c>
      <c r="N37" s="1063"/>
      <c r="O37" s="1064">
        <f t="shared" si="42"/>
        <v>0</v>
      </c>
      <c r="P37" s="1067">
        <v>1</v>
      </c>
      <c r="Q37" s="1066">
        <f t="shared" si="43"/>
        <v>6.5</v>
      </c>
      <c r="R37" s="1065"/>
      <c r="S37" s="1066">
        <f t="shared" si="44"/>
        <v>0</v>
      </c>
      <c r="T37" s="1065"/>
      <c r="U37" s="1066">
        <f t="shared" si="45"/>
        <v>0</v>
      </c>
      <c r="V37" s="1063"/>
      <c r="W37" s="1064">
        <f t="shared" si="46"/>
        <v>0</v>
      </c>
      <c r="X37" s="1065"/>
      <c r="Y37" s="1066">
        <f t="shared" si="47"/>
        <v>0</v>
      </c>
      <c r="Z37" s="1063"/>
      <c r="AA37" s="1064">
        <f t="shared" si="48"/>
        <v>0</v>
      </c>
      <c r="AB37" s="1065"/>
      <c r="AC37" s="1066">
        <f t="shared" si="49"/>
        <v>0</v>
      </c>
      <c r="AD37" s="1068"/>
      <c r="AE37" s="780"/>
      <c r="AF37" s="1069"/>
      <c r="AG37" s="743"/>
      <c r="AH37" s="991"/>
      <c r="AI37" s="992"/>
      <c r="AJ37" s="1070">
        <f t="shared" si="58"/>
        <v>1</v>
      </c>
      <c r="AK37" s="1071">
        <v>8</v>
      </c>
      <c r="AL37" s="1072"/>
      <c r="AM37" s="1072"/>
      <c r="AN37" s="1072"/>
      <c r="AO37" s="1072"/>
      <c r="AP37" s="1073">
        <f t="shared" si="59"/>
        <v>7</v>
      </c>
      <c r="AQ37" s="1074"/>
    </row>
    <row r="38" spans="1:43" ht="20.25">
      <c r="A38" s="983"/>
      <c r="B38" s="1059"/>
      <c r="C38" s="1075" t="s">
        <v>107</v>
      </c>
      <c r="D38" s="1076">
        <v>6.5</v>
      </c>
      <c r="E38" s="1077"/>
      <c r="F38" s="912"/>
      <c r="G38" s="911"/>
      <c r="H38" s="88"/>
      <c r="I38" s="907">
        <f t="shared" si="51"/>
        <v>0</v>
      </c>
      <c r="J38" s="912"/>
      <c r="K38" s="911"/>
      <c r="L38" s="88"/>
      <c r="M38" s="907">
        <f t="shared" si="53"/>
        <v>0</v>
      </c>
      <c r="N38" s="912"/>
      <c r="O38" s="911">
        <f t="shared" si="42"/>
        <v>0</v>
      </c>
      <c r="P38" s="910"/>
      <c r="Q38" s="907">
        <f t="shared" si="43"/>
        <v>0</v>
      </c>
      <c r="R38" s="88"/>
      <c r="S38" s="907">
        <f t="shared" si="44"/>
        <v>0</v>
      </c>
      <c r="T38" s="88"/>
      <c r="U38" s="907">
        <f t="shared" si="45"/>
        <v>0</v>
      </c>
      <c r="V38" s="912"/>
      <c r="W38" s="911">
        <f t="shared" si="46"/>
        <v>0</v>
      </c>
      <c r="X38" s="88"/>
      <c r="Y38" s="907">
        <f t="shared" si="47"/>
        <v>0</v>
      </c>
      <c r="Z38" s="912"/>
      <c r="AA38" s="911">
        <f t="shared" si="48"/>
        <v>0</v>
      </c>
      <c r="AB38" s="88"/>
      <c r="AC38" s="907">
        <f t="shared" si="49"/>
        <v>0</v>
      </c>
      <c r="AD38" s="913"/>
      <c r="AE38" s="1078"/>
      <c r="AF38" s="1079"/>
      <c r="AG38" s="1080"/>
      <c r="AH38" s="1081"/>
      <c r="AI38" s="1082"/>
      <c r="AJ38" s="1083">
        <f t="shared" si="58"/>
        <v>0</v>
      </c>
      <c r="AK38" s="1084">
        <v>8</v>
      </c>
      <c r="AL38" s="1085"/>
      <c r="AM38" s="1085"/>
      <c r="AN38" s="1085"/>
      <c r="AO38" s="1085"/>
      <c r="AP38" s="1086">
        <f t="shared" si="59"/>
        <v>8</v>
      </c>
      <c r="AQ38" s="1087"/>
    </row>
    <row r="39" spans="1:43" ht="21.75" customHeight="1">
      <c r="A39" s="983"/>
      <c r="B39" s="1088" t="s">
        <v>652</v>
      </c>
      <c r="C39" s="1089" t="s">
        <v>102</v>
      </c>
      <c r="D39" s="1090">
        <v>6.2</v>
      </c>
      <c r="E39" s="1090"/>
      <c r="F39" s="1091"/>
      <c r="G39" s="1092"/>
      <c r="H39" s="1091"/>
      <c r="I39" s="1092">
        <f t="shared" si="51"/>
        <v>0</v>
      </c>
      <c r="J39" s="1091"/>
      <c r="K39" s="1092"/>
      <c r="L39" s="1091"/>
      <c r="M39" s="1092">
        <f t="shared" si="53"/>
        <v>0</v>
      </c>
      <c r="N39" s="1091"/>
      <c r="O39" s="1092">
        <f t="shared" si="42"/>
        <v>0</v>
      </c>
      <c r="P39" s="1093"/>
      <c r="Q39" s="1092">
        <f t="shared" si="43"/>
        <v>0</v>
      </c>
      <c r="R39" s="1091"/>
      <c r="S39" s="1092">
        <f t="shared" si="44"/>
        <v>0</v>
      </c>
      <c r="T39" s="1091"/>
      <c r="U39" s="1092">
        <f t="shared" si="45"/>
        <v>0</v>
      </c>
      <c r="V39" s="1091"/>
      <c r="W39" s="1092">
        <f t="shared" si="46"/>
        <v>0</v>
      </c>
      <c r="X39" s="1091"/>
      <c r="Y39" s="1092">
        <f t="shared" si="47"/>
        <v>0</v>
      </c>
      <c r="Z39" s="1091"/>
      <c r="AA39" s="1092">
        <f t="shared" si="48"/>
        <v>0</v>
      </c>
      <c r="AB39" s="1091"/>
      <c r="AC39" s="1092">
        <f t="shared" si="49"/>
        <v>0</v>
      </c>
      <c r="AD39" s="1094"/>
      <c r="AE39" s="1095"/>
      <c r="AF39" s="1096"/>
      <c r="AG39" s="1097"/>
      <c r="AH39" s="1098"/>
      <c r="AI39" s="1099"/>
      <c r="AJ39" s="1083">
        <f t="shared" si="58"/>
        <v>0</v>
      </c>
      <c r="AK39" s="1100">
        <v>15</v>
      </c>
      <c r="AL39" s="1101"/>
      <c r="AM39" s="1101">
        <v>8</v>
      </c>
      <c r="AN39" s="1101"/>
      <c r="AO39" s="1101"/>
      <c r="AP39" s="1102">
        <f t="shared" si="59"/>
        <v>7</v>
      </c>
      <c r="AQ39" s="1103"/>
    </row>
    <row r="40" spans="1:43" ht="20.25">
      <c r="A40" s="983"/>
      <c r="B40" s="1088"/>
      <c r="C40" s="1104" t="s">
        <v>103</v>
      </c>
      <c r="D40" s="1105">
        <v>6.2</v>
      </c>
      <c r="E40" s="1105"/>
      <c r="F40" s="1106"/>
      <c r="G40" s="1107"/>
      <c r="H40" s="1106"/>
      <c r="I40" s="1107">
        <f t="shared" si="51"/>
        <v>0</v>
      </c>
      <c r="J40" s="1106"/>
      <c r="K40" s="1107"/>
      <c r="L40" s="1106"/>
      <c r="M40" s="1107">
        <f t="shared" si="53"/>
        <v>0</v>
      </c>
      <c r="N40" s="1106"/>
      <c r="O40" s="1107">
        <f t="shared" si="42"/>
        <v>0</v>
      </c>
      <c r="P40" s="1108"/>
      <c r="Q40" s="1107">
        <f t="shared" si="43"/>
        <v>0</v>
      </c>
      <c r="R40" s="1106"/>
      <c r="S40" s="1107">
        <f t="shared" si="44"/>
        <v>0</v>
      </c>
      <c r="T40" s="1106"/>
      <c r="U40" s="1107">
        <f t="shared" si="45"/>
        <v>0</v>
      </c>
      <c r="V40" s="1106"/>
      <c r="W40" s="1107">
        <f t="shared" si="46"/>
        <v>0</v>
      </c>
      <c r="X40" s="1106"/>
      <c r="Y40" s="1107">
        <f t="shared" si="47"/>
        <v>0</v>
      </c>
      <c r="Z40" s="1106"/>
      <c r="AA40" s="1107">
        <f t="shared" si="48"/>
        <v>0</v>
      </c>
      <c r="AB40" s="1106"/>
      <c r="AC40" s="1107">
        <f t="shared" si="49"/>
        <v>0</v>
      </c>
      <c r="AD40" s="1109"/>
      <c r="AE40" s="1110"/>
      <c r="AF40" s="1111"/>
      <c r="AG40" s="1112"/>
      <c r="AH40" s="1113"/>
      <c r="AI40" s="1114"/>
      <c r="AJ40" s="1083">
        <f t="shared" si="58"/>
        <v>0</v>
      </c>
      <c r="AK40" s="1115">
        <v>15</v>
      </c>
      <c r="AL40" s="1116"/>
      <c r="AM40" s="1116">
        <v>8</v>
      </c>
      <c r="AN40" s="1116"/>
      <c r="AO40" s="1116"/>
      <c r="AP40" s="1117">
        <f t="shared" si="59"/>
        <v>7</v>
      </c>
      <c r="AQ40" s="1118"/>
    </row>
    <row r="41" spans="1:43" ht="21.75" customHeight="1">
      <c r="A41" s="983"/>
      <c r="B41" s="1119" t="s">
        <v>653</v>
      </c>
      <c r="C41" s="1120" t="s">
        <v>93</v>
      </c>
      <c r="D41" s="1018">
        <v>5.9</v>
      </c>
      <c r="E41" s="1019"/>
      <c r="F41" s="729"/>
      <c r="G41" s="728">
        <f aca="true" t="shared" si="62" ref="G41:G43">D41*F41</f>
        <v>0</v>
      </c>
      <c r="H41" s="49"/>
      <c r="I41" s="724">
        <f t="shared" si="51"/>
        <v>0</v>
      </c>
      <c r="J41" s="729">
        <v>2</v>
      </c>
      <c r="K41" s="728">
        <f aca="true" t="shared" si="63" ref="K41:K49">J41*D41</f>
        <v>11.8</v>
      </c>
      <c r="L41" s="49"/>
      <c r="M41" s="724">
        <f t="shared" si="53"/>
        <v>0</v>
      </c>
      <c r="N41" s="729"/>
      <c r="O41" s="728">
        <f t="shared" si="42"/>
        <v>0</v>
      </c>
      <c r="P41" s="727"/>
      <c r="Q41" s="724">
        <f t="shared" si="43"/>
        <v>0</v>
      </c>
      <c r="R41" s="49"/>
      <c r="S41" s="724">
        <f t="shared" si="44"/>
        <v>0</v>
      </c>
      <c r="T41" s="49"/>
      <c r="U41" s="724">
        <f t="shared" si="45"/>
        <v>0</v>
      </c>
      <c r="V41" s="729"/>
      <c r="W41" s="728">
        <f t="shared" si="46"/>
        <v>0</v>
      </c>
      <c r="X41" s="49"/>
      <c r="Y41" s="724">
        <f t="shared" si="47"/>
        <v>0</v>
      </c>
      <c r="Z41" s="729"/>
      <c r="AA41" s="728">
        <f t="shared" si="48"/>
        <v>0</v>
      </c>
      <c r="AB41" s="49"/>
      <c r="AC41" s="724">
        <f t="shared" si="49"/>
        <v>0</v>
      </c>
      <c r="AD41" s="730">
        <f>'Commande Alimentaire'!D38</f>
        <v>4</v>
      </c>
      <c r="AE41" s="796">
        <f>(AD41*20)/100+AD41</f>
        <v>4.8</v>
      </c>
      <c r="AF41" s="1121">
        <v>0.2</v>
      </c>
      <c r="AG41" s="1122">
        <f>D41-AD41</f>
        <v>1.9000000000000004</v>
      </c>
      <c r="AH41" s="1123">
        <f>AG41*AJ41</f>
        <v>3.8000000000000007</v>
      </c>
      <c r="AI41" s="1124">
        <f aca="true" t="shared" si="64" ref="AI41:AI54">SUM(AC41+AA41+Y41+W41+U41+S41+Q41+O41+M41+K41+I41+G41)</f>
        <v>11.8</v>
      </c>
      <c r="AJ41" s="1125">
        <f t="shared" si="58"/>
        <v>2</v>
      </c>
      <c r="AK41" s="1126">
        <v>44</v>
      </c>
      <c r="AL41" s="1127"/>
      <c r="AM41" s="1127"/>
      <c r="AN41" s="1127"/>
      <c r="AO41" s="1127"/>
      <c r="AP41" s="1128">
        <f t="shared" si="59"/>
        <v>42</v>
      </c>
      <c r="AQ41" s="1129"/>
    </row>
    <row r="42" spans="1:43" ht="20.25">
      <c r="A42" s="983"/>
      <c r="B42" s="1119"/>
      <c r="C42" s="1053" t="s">
        <v>93</v>
      </c>
      <c r="D42" s="999">
        <v>6</v>
      </c>
      <c r="E42" s="1000"/>
      <c r="F42" s="1130"/>
      <c r="G42" s="1131">
        <f t="shared" si="62"/>
        <v>0</v>
      </c>
      <c r="H42" s="1132"/>
      <c r="I42" s="1133">
        <f t="shared" si="51"/>
        <v>0</v>
      </c>
      <c r="J42" s="1130"/>
      <c r="K42" s="1131">
        <f t="shared" si="63"/>
        <v>0</v>
      </c>
      <c r="L42" s="68"/>
      <c r="M42" s="654">
        <f t="shared" si="53"/>
        <v>0</v>
      </c>
      <c r="N42" s="659"/>
      <c r="O42" s="658">
        <f t="shared" si="42"/>
        <v>0</v>
      </c>
      <c r="P42" s="657">
        <v>1</v>
      </c>
      <c r="Q42" s="654">
        <f t="shared" si="43"/>
        <v>6</v>
      </c>
      <c r="R42" s="68"/>
      <c r="S42" s="654">
        <f t="shared" si="44"/>
        <v>0</v>
      </c>
      <c r="T42" s="68"/>
      <c r="U42" s="654">
        <f t="shared" si="45"/>
        <v>0</v>
      </c>
      <c r="V42" s="659"/>
      <c r="W42" s="658">
        <f t="shared" si="46"/>
        <v>0</v>
      </c>
      <c r="X42" s="68"/>
      <c r="Y42" s="654">
        <f t="shared" si="47"/>
        <v>0</v>
      </c>
      <c r="Z42" s="659"/>
      <c r="AA42" s="658">
        <f t="shared" si="48"/>
        <v>0</v>
      </c>
      <c r="AB42" s="68"/>
      <c r="AC42" s="654">
        <f t="shared" si="49"/>
        <v>0</v>
      </c>
      <c r="AD42" s="660"/>
      <c r="AE42" s="708"/>
      <c r="AF42" s="1121"/>
      <c r="AG42" s="662"/>
      <c r="AH42" s="1003"/>
      <c r="AI42" s="1004">
        <f t="shared" si="64"/>
        <v>6</v>
      </c>
      <c r="AJ42" s="1125">
        <f t="shared" si="58"/>
        <v>1</v>
      </c>
      <c r="AK42" s="1006">
        <v>42</v>
      </c>
      <c r="AL42" s="1007"/>
      <c r="AM42" s="1007">
        <v>6</v>
      </c>
      <c r="AN42" s="1007"/>
      <c r="AO42" s="1007"/>
      <c r="AP42" s="1008">
        <f t="shared" si="59"/>
        <v>35</v>
      </c>
      <c r="AQ42" s="1009"/>
    </row>
    <row r="43" spans="1:43" ht="20.25">
      <c r="A43" s="983"/>
      <c r="B43" s="1119"/>
      <c r="C43" s="998" t="s">
        <v>528</v>
      </c>
      <c r="D43" s="999">
        <v>10</v>
      </c>
      <c r="E43" s="1000"/>
      <c r="F43" s="659"/>
      <c r="G43" s="658">
        <f t="shared" si="62"/>
        <v>0</v>
      </c>
      <c r="H43" s="68"/>
      <c r="I43" s="654">
        <f t="shared" si="51"/>
        <v>0</v>
      </c>
      <c r="J43" s="659">
        <v>1</v>
      </c>
      <c r="K43" s="658">
        <f t="shared" si="63"/>
        <v>10</v>
      </c>
      <c r="L43" s="68"/>
      <c r="M43" s="654">
        <f t="shared" si="53"/>
        <v>0</v>
      </c>
      <c r="N43" s="659">
        <v>1</v>
      </c>
      <c r="O43" s="658">
        <f t="shared" si="42"/>
        <v>10</v>
      </c>
      <c r="P43" s="657"/>
      <c r="Q43" s="654">
        <f t="shared" si="43"/>
        <v>0</v>
      </c>
      <c r="R43" s="68"/>
      <c r="S43" s="654">
        <f t="shared" si="44"/>
        <v>0</v>
      </c>
      <c r="T43" s="68"/>
      <c r="U43" s="654">
        <f t="shared" si="45"/>
        <v>0</v>
      </c>
      <c r="V43" s="659"/>
      <c r="W43" s="658">
        <f t="shared" si="46"/>
        <v>0</v>
      </c>
      <c r="X43" s="68"/>
      <c r="Y43" s="654">
        <f t="shared" si="47"/>
        <v>0</v>
      </c>
      <c r="Z43" s="659"/>
      <c r="AA43" s="658">
        <f t="shared" si="48"/>
        <v>0</v>
      </c>
      <c r="AB43" s="68"/>
      <c r="AC43" s="654">
        <f t="shared" si="49"/>
        <v>0</v>
      </c>
      <c r="AD43" s="660">
        <f>'Commande Alimentaire'!D39</f>
        <v>6.67</v>
      </c>
      <c r="AE43" s="708">
        <f aca="true" t="shared" si="65" ref="AE43:AE46">(AD43*20)/100+AD43</f>
        <v>8.004</v>
      </c>
      <c r="AF43" s="1121"/>
      <c r="AG43" s="662">
        <f aca="true" t="shared" si="66" ref="AG43:AG46">D43-AD43</f>
        <v>3.33</v>
      </c>
      <c r="AH43" s="1003">
        <f aca="true" t="shared" si="67" ref="AH43:AH46">AG43*AJ43</f>
        <v>6.66</v>
      </c>
      <c r="AI43" s="1004">
        <f t="shared" si="64"/>
        <v>20</v>
      </c>
      <c r="AJ43" s="1005">
        <f t="shared" si="58"/>
        <v>2</v>
      </c>
      <c r="AK43" s="1006">
        <v>16</v>
      </c>
      <c r="AL43" s="1007"/>
      <c r="AM43" s="1007">
        <v>6</v>
      </c>
      <c r="AN43" s="1007"/>
      <c r="AO43" s="1007"/>
      <c r="AP43" s="1008">
        <f t="shared" si="59"/>
        <v>8</v>
      </c>
      <c r="AQ43" s="1009"/>
    </row>
    <row r="44" spans="1:43" ht="20.25">
      <c r="A44" s="983"/>
      <c r="B44" s="1119"/>
      <c r="C44" s="1021" t="s">
        <v>529</v>
      </c>
      <c r="D44" s="1011">
        <v>10</v>
      </c>
      <c r="E44" s="1012"/>
      <c r="F44" s="706"/>
      <c r="G44" s="705">
        <f>F44*D44</f>
        <v>0</v>
      </c>
      <c r="H44" s="703"/>
      <c r="I44" s="700">
        <f t="shared" si="51"/>
        <v>0</v>
      </c>
      <c r="J44" s="706"/>
      <c r="K44" s="705">
        <f t="shared" si="63"/>
        <v>0</v>
      </c>
      <c r="L44" s="703"/>
      <c r="M44" s="700">
        <f t="shared" si="53"/>
        <v>0</v>
      </c>
      <c r="N44" s="706"/>
      <c r="O44" s="705">
        <f t="shared" si="42"/>
        <v>0</v>
      </c>
      <c r="P44" s="704"/>
      <c r="Q44" s="700">
        <f t="shared" si="43"/>
        <v>0</v>
      </c>
      <c r="R44" s="703"/>
      <c r="S44" s="700">
        <f t="shared" si="44"/>
        <v>0</v>
      </c>
      <c r="T44" s="703"/>
      <c r="U44" s="700">
        <f t="shared" si="45"/>
        <v>0</v>
      </c>
      <c r="V44" s="706"/>
      <c r="W44" s="705">
        <f t="shared" si="46"/>
        <v>0</v>
      </c>
      <c r="X44" s="703"/>
      <c r="Y44" s="700">
        <f t="shared" si="47"/>
        <v>0</v>
      </c>
      <c r="Z44" s="706"/>
      <c r="AA44" s="705">
        <f t="shared" si="48"/>
        <v>0</v>
      </c>
      <c r="AB44" s="703"/>
      <c r="AC44" s="700">
        <f t="shared" si="49"/>
        <v>0</v>
      </c>
      <c r="AD44" s="707">
        <f>'Commande Alimentaire'!D40</f>
        <v>6.67</v>
      </c>
      <c r="AE44" s="708">
        <f t="shared" si="65"/>
        <v>8.004</v>
      </c>
      <c r="AF44" s="1121"/>
      <c r="AG44" s="709">
        <f t="shared" si="66"/>
        <v>3.33</v>
      </c>
      <c r="AH44" s="1024">
        <f t="shared" si="67"/>
        <v>0</v>
      </c>
      <c r="AI44" s="1004">
        <f t="shared" si="64"/>
        <v>0</v>
      </c>
      <c r="AJ44" s="1005">
        <f t="shared" si="58"/>
        <v>0</v>
      </c>
      <c r="AK44" s="1006">
        <v>15</v>
      </c>
      <c r="AL44" s="1007"/>
      <c r="AM44" s="1007">
        <v>5</v>
      </c>
      <c r="AN44" s="1007"/>
      <c r="AO44" s="1007"/>
      <c r="AP44" s="1008">
        <f t="shared" si="59"/>
        <v>10</v>
      </c>
      <c r="AQ44" s="1009"/>
    </row>
    <row r="45" spans="1:43" ht="31.5">
      <c r="A45" s="983"/>
      <c r="B45" s="1134" t="s">
        <v>654</v>
      </c>
      <c r="C45" s="1135" t="s">
        <v>655</v>
      </c>
      <c r="D45" s="1136">
        <v>7.5</v>
      </c>
      <c r="E45" s="1137"/>
      <c r="F45" s="884"/>
      <c r="G45" s="883"/>
      <c r="H45" s="881"/>
      <c r="I45" s="878">
        <f t="shared" si="51"/>
        <v>0</v>
      </c>
      <c r="J45" s="884"/>
      <c r="K45" s="883">
        <f t="shared" si="63"/>
        <v>0</v>
      </c>
      <c r="L45" s="881"/>
      <c r="M45" s="878">
        <f t="shared" si="53"/>
        <v>0</v>
      </c>
      <c r="N45" s="884"/>
      <c r="O45" s="883">
        <f t="shared" si="42"/>
        <v>0</v>
      </c>
      <c r="P45" s="882"/>
      <c r="Q45" s="878">
        <f>D45*P45</f>
        <v>0</v>
      </c>
      <c r="R45" s="881"/>
      <c r="S45" s="878">
        <f t="shared" si="44"/>
        <v>0</v>
      </c>
      <c r="T45" s="881"/>
      <c r="U45" s="878">
        <f t="shared" si="45"/>
        <v>0</v>
      </c>
      <c r="V45" s="884"/>
      <c r="W45" s="883">
        <f t="shared" si="46"/>
        <v>0</v>
      </c>
      <c r="X45" s="881"/>
      <c r="Y45" s="878"/>
      <c r="Z45" s="884"/>
      <c r="AA45" s="883">
        <f t="shared" si="48"/>
        <v>0</v>
      </c>
      <c r="AB45" s="881"/>
      <c r="AC45" s="878">
        <f t="shared" si="49"/>
        <v>0</v>
      </c>
      <c r="AD45" s="885">
        <v>6</v>
      </c>
      <c r="AE45" s="886">
        <f t="shared" si="65"/>
        <v>7.2</v>
      </c>
      <c r="AF45" s="1121"/>
      <c r="AG45" s="709">
        <f t="shared" si="66"/>
        <v>1.5</v>
      </c>
      <c r="AH45" s="1024">
        <f t="shared" si="67"/>
        <v>0</v>
      </c>
      <c r="AI45" s="1004">
        <f t="shared" si="64"/>
        <v>0</v>
      </c>
      <c r="AJ45" s="1005">
        <f t="shared" si="58"/>
        <v>0</v>
      </c>
      <c r="AK45" s="1006">
        <v>10</v>
      </c>
      <c r="AL45" s="1007"/>
      <c r="AM45" s="1007">
        <v>6</v>
      </c>
      <c r="AN45" s="1007"/>
      <c r="AO45" s="1007"/>
      <c r="AP45" s="1008">
        <f t="shared" si="59"/>
        <v>4</v>
      </c>
      <c r="AQ45" s="1009"/>
    </row>
    <row r="46" spans="1:43" ht="20.25">
      <c r="A46" s="983"/>
      <c r="B46" s="1138" t="s">
        <v>656</v>
      </c>
      <c r="C46" s="1139" t="s">
        <v>657</v>
      </c>
      <c r="D46" s="1140">
        <v>9.9</v>
      </c>
      <c r="E46" s="1029"/>
      <c r="F46" s="843"/>
      <c r="G46" s="842">
        <f aca="true" t="shared" si="68" ref="G46:G47">F46*D46</f>
        <v>0</v>
      </c>
      <c r="H46" s="153">
        <v>3</v>
      </c>
      <c r="I46" s="750">
        <f t="shared" si="51"/>
        <v>29.700000000000003</v>
      </c>
      <c r="J46" s="843"/>
      <c r="K46" s="842">
        <f t="shared" si="63"/>
        <v>0</v>
      </c>
      <c r="L46" s="153"/>
      <c r="M46" s="750">
        <f t="shared" si="53"/>
        <v>0</v>
      </c>
      <c r="N46" s="843"/>
      <c r="O46" s="842">
        <f t="shared" si="42"/>
        <v>0</v>
      </c>
      <c r="P46" s="841">
        <v>1</v>
      </c>
      <c r="Q46" s="750">
        <f aca="true" t="shared" si="69" ref="Q46:Q75">P46*D46</f>
        <v>9.9</v>
      </c>
      <c r="R46" s="153"/>
      <c r="S46" s="750">
        <f t="shared" si="44"/>
        <v>0</v>
      </c>
      <c r="T46" s="153"/>
      <c r="U46" s="750">
        <f t="shared" si="45"/>
        <v>0</v>
      </c>
      <c r="V46" s="843"/>
      <c r="W46" s="842">
        <f t="shared" si="46"/>
        <v>0</v>
      </c>
      <c r="X46" s="153"/>
      <c r="Y46" s="750">
        <f aca="true" t="shared" si="70" ref="Y46:Y75">X46*D46</f>
        <v>0</v>
      </c>
      <c r="Z46" s="843"/>
      <c r="AA46" s="842">
        <f t="shared" si="48"/>
        <v>0</v>
      </c>
      <c r="AB46" s="153"/>
      <c r="AC46" s="750">
        <f t="shared" si="49"/>
        <v>0</v>
      </c>
      <c r="AD46" s="844">
        <f>'Commande Alimentaire'!D42</f>
        <v>6.5</v>
      </c>
      <c r="AE46" s="845">
        <f t="shared" si="65"/>
        <v>7.8</v>
      </c>
      <c r="AF46" s="1121"/>
      <c r="AG46" s="751">
        <f t="shared" si="66"/>
        <v>3.4000000000000004</v>
      </c>
      <c r="AH46" s="1015">
        <f t="shared" si="67"/>
        <v>13.600000000000001</v>
      </c>
      <c r="AI46" s="1004">
        <f t="shared" si="64"/>
        <v>39.6</v>
      </c>
      <c r="AJ46" s="1005">
        <f t="shared" si="58"/>
        <v>4</v>
      </c>
      <c r="AK46" s="1006">
        <v>14</v>
      </c>
      <c r="AL46" s="1007"/>
      <c r="AM46" s="1007">
        <v>8</v>
      </c>
      <c r="AN46" s="1007"/>
      <c r="AO46" s="1007"/>
      <c r="AP46" s="1008">
        <f t="shared" si="59"/>
        <v>2</v>
      </c>
      <c r="AQ46" s="1009"/>
    </row>
    <row r="47" spans="1:43" ht="28.5">
      <c r="A47" s="983"/>
      <c r="B47" s="1134"/>
      <c r="C47" s="439" t="s">
        <v>658</v>
      </c>
      <c r="D47" s="1136">
        <v>20</v>
      </c>
      <c r="E47" s="1137"/>
      <c r="F47" s="884"/>
      <c r="G47" s="883">
        <f t="shared" si="68"/>
        <v>0</v>
      </c>
      <c r="H47" s="881"/>
      <c r="I47" s="878">
        <f t="shared" si="51"/>
        <v>0</v>
      </c>
      <c r="J47" s="884"/>
      <c r="K47" s="883">
        <f t="shared" si="63"/>
        <v>0</v>
      </c>
      <c r="L47" s="881"/>
      <c r="M47" s="878">
        <f t="shared" si="53"/>
        <v>0</v>
      </c>
      <c r="N47" s="884"/>
      <c r="O47" s="883">
        <f t="shared" si="42"/>
        <v>0</v>
      </c>
      <c r="P47" s="882"/>
      <c r="Q47" s="878">
        <f t="shared" si="69"/>
        <v>0</v>
      </c>
      <c r="R47" s="881"/>
      <c r="S47" s="878">
        <f t="shared" si="44"/>
        <v>0</v>
      </c>
      <c r="T47" s="881"/>
      <c r="U47" s="878">
        <f t="shared" si="45"/>
        <v>0</v>
      </c>
      <c r="V47" s="884"/>
      <c r="W47" s="883">
        <f t="shared" si="46"/>
        <v>0</v>
      </c>
      <c r="X47" s="881"/>
      <c r="Y47" s="878">
        <f t="shared" si="70"/>
        <v>0</v>
      </c>
      <c r="Z47" s="884"/>
      <c r="AA47" s="883">
        <f t="shared" si="48"/>
        <v>0</v>
      </c>
      <c r="AB47" s="881"/>
      <c r="AC47" s="878">
        <f t="shared" si="49"/>
        <v>0</v>
      </c>
      <c r="AD47" s="885"/>
      <c r="AE47" s="886"/>
      <c r="AF47" s="1121"/>
      <c r="AG47" s="751"/>
      <c r="AH47" s="1015"/>
      <c r="AI47" s="1004">
        <f t="shared" si="64"/>
        <v>0</v>
      </c>
      <c r="AJ47" s="1005">
        <f t="shared" si="58"/>
        <v>0</v>
      </c>
      <c r="AK47" s="1006">
        <v>0</v>
      </c>
      <c r="AL47" s="1007"/>
      <c r="AM47" s="1007"/>
      <c r="AN47" s="1007"/>
      <c r="AO47" s="1007"/>
      <c r="AP47" s="1008">
        <f t="shared" si="59"/>
        <v>0</v>
      </c>
      <c r="AQ47" s="1009"/>
    </row>
    <row r="48" spans="1:43" ht="31.5">
      <c r="A48" s="983"/>
      <c r="B48" s="1141" t="s">
        <v>659</v>
      </c>
      <c r="C48" s="1142" t="s">
        <v>660</v>
      </c>
      <c r="D48" s="1143">
        <v>10</v>
      </c>
      <c r="E48" s="1144"/>
      <c r="F48" s="1145"/>
      <c r="G48" s="1146">
        <f aca="true" t="shared" si="71" ref="G48:G109">D48*F48</f>
        <v>0</v>
      </c>
      <c r="H48" s="1147"/>
      <c r="I48" s="1148">
        <f t="shared" si="51"/>
        <v>0</v>
      </c>
      <c r="J48" s="1145"/>
      <c r="K48" s="1146">
        <f t="shared" si="63"/>
        <v>0</v>
      </c>
      <c r="L48" s="1147"/>
      <c r="M48" s="1148">
        <f t="shared" si="53"/>
        <v>0</v>
      </c>
      <c r="N48" s="1145"/>
      <c r="O48" s="1146">
        <f t="shared" si="42"/>
        <v>0</v>
      </c>
      <c r="P48" s="1149">
        <v>1</v>
      </c>
      <c r="Q48" s="1148">
        <f t="shared" si="69"/>
        <v>10</v>
      </c>
      <c r="R48" s="1147"/>
      <c r="S48" s="1148">
        <f t="shared" si="44"/>
        <v>0</v>
      </c>
      <c r="T48" s="1147"/>
      <c r="U48" s="1148">
        <f t="shared" si="45"/>
        <v>0</v>
      </c>
      <c r="V48" s="1145"/>
      <c r="W48" s="1146">
        <f t="shared" si="46"/>
        <v>0</v>
      </c>
      <c r="X48" s="1147"/>
      <c r="Y48" s="1148">
        <f t="shared" si="70"/>
        <v>0</v>
      </c>
      <c r="Z48" s="1145"/>
      <c r="AA48" s="1146">
        <f t="shared" si="48"/>
        <v>0</v>
      </c>
      <c r="AB48" s="1147"/>
      <c r="AC48" s="1148">
        <f t="shared" si="49"/>
        <v>0</v>
      </c>
      <c r="AD48" s="1034">
        <f>'Commande Alimentaire'!D41</f>
        <v>5.625</v>
      </c>
      <c r="AE48" s="708">
        <f>(AD48*20)/100+AD48</f>
        <v>6.75</v>
      </c>
      <c r="AF48" s="1121"/>
      <c r="AG48" s="1035">
        <f>D48-AD48</f>
        <v>4.375</v>
      </c>
      <c r="AH48" s="1036">
        <f aca="true" t="shared" si="72" ref="AH48:AH54">AG48*AJ48</f>
        <v>4.375</v>
      </c>
      <c r="AI48" s="1004">
        <f t="shared" si="64"/>
        <v>10</v>
      </c>
      <c r="AJ48" s="1005">
        <f t="shared" si="58"/>
        <v>1</v>
      </c>
      <c r="AK48" s="1006">
        <v>10</v>
      </c>
      <c r="AL48" s="1007"/>
      <c r="AM48" s="1007"/>
      <c r="AN48" s="1007"/>
      <c r="AO48" s="1007"/>
      <c r="AP48" s="1008">
        <f t="shared" si="59"/>
        <v>9</v>
      </c>
      <c r="AQ48" s="1009"/>
    </row>
    <row r="49" spans="1:43" ht="21" customHeight="1">
      <c r="A49" s="1150"/>
      <c r="B49" s="984" t="s">
        <v>166</v>
      </c>
      <c r="C49" s="1046" t="s">
        <v>661</v>
      </c>
      <c r="D49" s="986">
        <v>5</v>
      </c>
      <c r="E49" s="987"/>
      <c r="F49" s="637"/>
      <c r="G49" s="636">
        <f t="shared" si="71"/>
        <v>0</v>
      </c>
      <c r="H49" s="634"/>
      <c r="I49" s="631">
        <f t="shared" si="51"/>
        <v>0</v>
      </c>
      <c r="J49" s="637"/>
      <c r="K49" s="636">
        <f t="shared" si="63"/>
        <v>0</v>
      </c>
      <c r="L49" s="634"/>
      <c r="M49" s="631">
        <f t="shared" si="53"/>
        <v>0</v>
      </c>
      <c r="N49" s="637"/>
      <c r="O49" s="636">
        <f t="shared" si="42"/>
        <v>0</v>
      </c>
      <c r="P49" s="635"/>
      <c r="Q49" s="631">
        <f t="shared" si="69"/>
        <v>0</v>
      </c>
      <c r="R49" s="634"/>
      <c r="S49" s="631">
        <f t="shared" si="44"/>
        <v>0</v>
      </c>
      <c r="T49" s="634"/>
      <c r="U49" s="631">
        <f t="shared" si="45"/>
        <v>0</v>
      </c>
      <c r="V49" s="637"/>
      <c r="W49" s="636">
        <f t="shared" si="46"/>
        <v>0</v>
      </c>
      <c r="X49" s="634"/>
      <c r="Y49" s="631">
        <f t="shared" si="70"/>
        <v>0</v>
      </c>
      <c r="Z49" s="637"/>
      <c r="AA49" s="636">
        <f t="shared" si="48"/>
        <v>0</v>
      </c>
      <c r="AB49" s="634"/>
      <c r="AC49" s="631">
        <f t="shared" si="49"/>
        <v>0</v>
      </c>
      <c r="AD49" s="638">
        <f>'[1]Commande Souvenirs, librairie'!F4</f>
        <v>4.5</v>
      </c>
      <c r="AE49" s="989"/>
      <c r="AF49" s="1151">
        <v>0.2</v>
      </c>
      <c r="AG49" s="641">
        <v>0.2</v>
      </c>
      <c r="AH49" s="1025">
        <f t="shared" si="72"/>
        <v>0</v>
      </c>
      <c r="AI49" s="1004">
        <f t="shared" si="64"/>
        <v>0</v>
      </c>
      <c r="AJ49" s="1005">
        <f t="shared" si="58"/>
        <v>0</v>
      </c>
      <c r="AK49" s="1006">
        <v>0</v>
      </c>
      <c r="AL49" s="1007"/>
      <c r="AM49" s="1007"/>
      <c r="AN49" s="1007"/>
      <c r="AO49" s="1007"/>
      <c r="AP49" s="1008">
        <f t="shared" si="59"/>
        <v>0</v>
      </c>
      <c r="AQ49" s="1009"/>
    </row>
    <row r="50" spans="1:43" ht="20.25">
      <c r="A50" s="1150"/>
      <c r="B50" s="984"/>
      <c r="C50" s="1053" t="s">
        <v>662</v>
      </c>
      <c r="D50" s="999">
        <v>2</v>
      </c>
      <c r="E50" s="1000"/>
      <c r="F50" s="659"/>
      <c r="G50" s="658">
        <f t="shared" si="71"/>
        <v>0</v>
      </c>
      <c r="H50" s="68"/>
      <c r="I50" s="654">
        <f t="shared" si="51"/>
        <v>0</v>
      </c>
      <c r="J50" s="659"/>
      <c r="K50" s="658">
        <f aca="true" t="shared" si="73" ref="K50:K51">J50*F50</f>
        <v>0</v>
      </c>
      <c r="L50" s="68"/>
      <c r="M50" s="654">
        <f t="shared" si="53"/>
        <v>0</v>
      </c>
      <c r="N50" s="659"/>
      <c r="O50" s="658">
        <f t="shared" si="42"/>
        <v>0</v>
      </c>
      <c r="P50" s="657"/>
      <c r="Q50" s="654">
        <f t="shared" si="69"/>
        <v>0</v>
      </c>
      <c r="R50" s="68"/>
      <c r="S50" s="654">
        <f t="shared" si="44"/>
        <v>0</v>
      </c>
      <c r="T50" s="68"/>
      <c r="U50" s="654">
        <f t="shared" si="45"/>
        <v>0</v>
      </c>
      <c r="V50" s="659"/>
      <c r="W50" s="658">
        <f t="shared" si="46"/>
        <v>0</v>
      </c>
      <c r="X50" s="68"/>
      <c r="Y50" s="654">
        <f t="shared" si="70"/>
        <v>0</v>
      </c>
      <c r="Z50" s="659"/>
      <c r="AA50" s="658">
        <f t="shared" si="48"/>
        <v>0</v>
      </c>
      <c r="AB50" s="68"/>
      <c r="AC50" s="654">
        <f t="shared" si="49"/>
        <v>0</v>
      </c>
      <c r="AD50" s="660">
        <f>'[1]Commande Souvenirs, librairie'!F3</f>
        <v>1.8</v>
      </c>
      <c r="AE50" s="1002"/>
      <c r="AF50" s="1151"/>
      <c r="AG50" s="662">
        <v>0.5</v>
      </c>
      <c r="AH50" s="1003">
        <f t="shared" si="72"/>
        <v>0</v>
      </c>
      <c r="AI50" s="1004">
        <f t="shared" si="64"/>
        <v>0</v>
      </c>
      <c r="AJ50" s="1005">
        <f t="shared" si="58"/>
        <v>0</v>
      </c>
      <c r="AK50" s="1006">
        <v>0</v>
      </c>
      <c r="AL50" s="1007"/>
      <c r="AM50" s="1007"/>
      <c r="AN50" s="1007"/>
      <c r="AO50" s="1007"/>
      <c r="AP50" s="1008">
        <f t="shared" si="59"/>
        <v>0</v>
      </c>
      <c r="AQ50" s="1009"/>
    </row>
    <row r="51" spans="1:43" ht="20.25">
      <c r="A51" s="1150"/>
      <c r="B51" s="984"/>
      <c r="C51" s="1053" t="s">
        <v>172</v>
      </c>
      <c r="D51" s="999">
        <v>1.2</v>
      </c>
      <c r="E51" s="1000"/>
      <c r="F51" s="659"/>
      <c r="G51" s="658">
        <f t="shared" si="71"/>
        <v>0</v>
      </c>
      <c r="H51" s="68"/>
      <c r="I51" s="654">
        <f t="shared" si="51"/>
        <v>0</v>
      </c>
      <c r="J51" s="659"/>
      <c r="K51" s="658">
        <f t="shared" si="73"/>
        <v>0</v>
      </c>
      <c r="L51" s="68"/>
      <c r="M51" s="654">
        <f t="shared" si="53"/>
        <v>0</v>
      </c>
      <c r="N51" s="659"/>
      <c r="O51" s="658">
        <f t="shared" si="42"/>
        <v>0</v>
      </c>
      <c r="P51" s="657"/>
      <c r="Q51" s="654">
        <f t="shared" si="69"/>
        <v>0</v>
      </c>
      <c r="R51" s="68"/>
      <c r="S51" s="654">
        <f t="shared" si="44"/>
        <v>0</v>
      </c>
      <c r="T51" s="68"/>
      <c r="U51" s="654">
        <f t="shared" si="45"/>
        <v>0</v>
      </c>
      <c r="V51" s="659"/>
      <c r="W51" s="658">
        <f t="shared" si="46"/>
        <v>0</v>
      </c>
      <c r="X51" s="68"/>
      <c r="Y51" s="654">
        <f t="shared" si="70"/>
        <v>0</v>
      </c>
      <c r="Z51" s="659"/>
      <c r="AA51" s="658">
        <f t="shared" si="48"/>
        <v>0</v>
      </c>
      <c r="AB51" s="68"/>
      <c r="AC51" s="654">
        <f t="shared" si="49"/>
        <v>0</v>
      </c>
      <c r="AD51" s="660">
        <f>'[1]Commande Souvenirs, librairie'!F5</f>
        <v>1</v>
      </c>
      <c r="AE51" s="1002"/>
      <c r="AF51" s="1151"/>
      <c r="AG51" s="662">
        <v>0.2</v>
      </c>
      <c r="AH51" s="1003">
        <f t="shared" si="72"/>
        <v>0</v>
      </c>
      <c r="AI51" s="1004">
        <f t="shared" si="64"/>
        <v>0</v>
      </c>
      <c r="AJ51" s="1005">
        <f t="shared" si="58"/>
        <v>0</v>
      </c>
      <c r="AK51" s="1006">
        <v>0</v>
      </c>
      <c r="AL51" s="1007"/>
      <c r="AM51" s="1007"/>
      <c r="AN51" s="1007"/>
      <c r="AO51" s="1007"/>
      <c r="AP51" s="1008">
        <f t="shared" si="59"/>
        <v>0</v>
      </c>
      <c r="AQ51" s="1009"/>
    </row>
    <row r="52" spans="1:43" ht="21">
      <c r="A52" s="1150"/>
      <c r="B52" s="984"/>
      <c r="C52" s="1152" t="s">
        <v>663</v>
      </c>
      <c r="D52" s="1011">
        <v>5</v>
      </c>
      <c r="E52" s="1012"/>
      <c r="F52" s="706"/>
      <c r="G52" s="705">
        <f t="shared" si="71"/>
        <v>0</v>
      </c>
      <c r="H52" s="703"/>
      <c r="I52" s="700">
        <f t="shared" si="51"/>
        <v>0</v>
      </c>
      <c r="J52" s="706"/>
      <c r="K52" s="705">
        <f aca="true" t="shared" si="74" ref="K52:K54">J52*D52</f>
        <v>0</v>
      </c>
      <c r="L52" s="703"/>
      <c r="M52" s="700">
        <f t="shared" si="53"/>
        <v>0</v>
      </c>
      <c r="N52" s="706"/>
      <c r="O52" s="705">
        <f t="shared" si="42"/>
        <v>0</v>
      </c>
      <c r="P52" s="704"/>
      <c r="Q52" s="700">
        <f t="shared" si="69"/>
        <v>0</v>
      </c>
      <c r="R52" s="703"/>
      <c r="S52" s="700">
        <f t="shared" si="44"/>
        <v>0</v>
      </c>
      <c r="T52" s="703"/>
      <c r="U52" s="700">
        <f t="shared" si="45"/>
        <v>0</v>
      </c>
      <c r="V52" s="706"/>
      <c r="W52" s="705">
        <f t="shared" si="46"/>
        <v>0</v>
      </c>
      <c r="X52" s="703"/>
      <c r="Y52" s="700">
        <f t="shared" si="70"/>
        <v>0</v>
      </c>
      <c r="Z52" s="706"/>
      <c r="AA52" s="705">
        <f t="shared" si="48"/>
        <v>0</v>
      </c>
      <c r="AB52" s="703"/>
      <c r="AC52" s="700">
        <f t="shared" si="49"/>
        <v>0</v>
      </c>
      <c r="AD52" s="707">
        <f>'[1]Commande Souvenirs, librairie'!F6</f>
        <v>4</v>
      </c>
      <c r="AE52" s="1014"/>
      <c r="AF52" s="1151"/>
      <c r="AG52" s="709">
        <v>5</v>
      </c>
      <c r="AH52" s="1024">
        <f t="shared" si="72"/>
        <v>0</v>
      </c>
      <c r="AI52" s="1004">
        <f t="shared" si="64"/>
        <v>0</v>
      </c>
      <c r="AJ52" s="1005">
        <f t="shared" si="58"/>
        <v>0</v>
      </c>
      <c r="AK52" s="1006">
        <v>0</v>
      </c>
      <c r="AL52" s="1007"/>
      <c r="AM52" s="1007"/>
      <c r="AN52" s="1007"/>
      <c r="AO52" s="1007"/>
      <c r="AP52" s="1008">
        <f t="shared" si="59"/>
        <v>0</v>
      </c>
      <c r="AQ52" s="1009"/>
    </row>
    <row r="53" spans="1:43" ht="31.5">
      <c r="A53" s="1150"/>
      <c r="B53" s="984" t="s">
        <v>532</v>
      </c>
      <c r="C53" s="451" t="s">
        <v>533</v>
      </c>
      <c r="D53" s="1136">
        <v>10</v>
      </c>
      <c r="E53" s="1137"/>
      <c r="F53" s="884"/>
      <c r="G53" s="1153">
        <f t="shared" si="71"/>
        <v>0</v>
      </c>
      <c r="H53" s="881"/>
      <c r="I53" s="878">
        <f t="shared" si="51"/>
        <v>0</v>
      </c>
      <c r="J53" s="884"/>
      <c r="K53" s="883">
        <f t="shared" si="74"/>
        <v>0</v>
      </c>
      <c r="L53" s="881"/>
      <c r="M53" s="878">
        <f t="shared" si="53"/>
        <v>0</v>
      </c>
      <c r="N53" s="884"/>
      <c r="O53" s="883">
        <f t="shared" si="42"/>
        <v>0</v>
      </c>
      <c r="P53" s="882"/>
      <c r="Q53" s="878">
        <f t="shared" si="69"/>
        <v>0</v>
      </c>
      <c r="R53" s="881"/>
      <c r="S53" s="878">
        <f t="shared" si="44"/>
        <v>0</v>
      </c>
      <c r="T53" s="881"/>
      <c r="U53" s="878">
        <f t="shared" si="45"/>
        <v>0</v>
      </c>
      <c r="V53" s="884"/>
      <c r="W53" s="883">
        <f t="shared" si="46"/>
        <v>0</v>
      </c>
      <c r="X53" s="881"/>
      <c r="Y53" s="878">
        <f t="shared" si="70"/>
        <v>0</v>
      </c>
      <c r="Z53" s="884"/>
      <c r="AA53" s="883">
        <f t="shared" si="48"/>
        <v>0</v>
      </c>
      <c r="AB53" s="881"/>
      <c r="AC53" s="878">
        <f t="shared" si="49"/>
        <v>0</v>
      </c>
      <c r="AD53" s="885">
        <f>'[1]Commande Souvenirs, librairie'!F23</f>
        <v>10</v>
      </c>
      <c r="AE53" s="1154"/>
      <c r="AF53" s="1151"/>
      <c r="AG53" s="751">
        <f aca="true" t="shared" si="75" ref="AG53:AG54">D53-AD53</f>
        <v>0</v>
      </c>
      <c r="AH53" s="1015">
        <f t="shared" si="72"/>
        <v>0</v>
      </c>
      <c r="AI53" s="1004">
        <f t="shared" si="64"/>
        <v>0</v>
      </c>
      <c r="AJ53" s="1005">
        <f t="shared" si="58"/>
        <v>0</v>
      </c>
      <c r="AK53" s="1006">
        <v>12</v>
      </c>
      <c r="AL53" s="1007"/>
      <c r="AM53" s="1007"/>
      <c r="AN53" s="1007"/>
      <c r="AO53" s="1007"/>
      <c r="AP53" s="1008">
        <f t="shared" si="59"/>
        <v>12</v>
      </c>
      <c r="AQ53" s="1009"/>
    </row>
    <row r="54" spans="1:43" ht="20.25">
      <c r="A54" s="1150"/>
      <c r="B54" s="1155"/>
      <c r="C54" s="1156" t="s">
        <v>664</v>
      </c>
      <c r="D54" s="986">
        <v>4.9</v>
      </c>
      <c r="E54" s="987"/>
      <c r="F54" s="637"/>
      <c r="G54" s="636">
        <f t="shared" si="71"/>
        <v>0</v>
      </c>
      <c r="H54" s="634"/>
      <c r="I54" s="631">
        <f t="shared" si="51"/>
        <v>0</v>
      </c>
      <c r="J54" s="637">
        <v>1</v>
      </c>
      <c r="K54" s="636">
        <f t="shared" si="74"/>
        <v>4.9</v>
      </c>
      <c r="L54" s="634"/>
      <c r="M54" s="631">
        <f t="shared" si="53"/>
        <v>0</v>
      </c>
      <c r="N54" s="637"/>
      <c r="O54" s="636">
        <f t="shared" si="42"/>
        <v>0</v>
      </c>
      <c r="P54" s="635">
        <v>1</v>
      </c>
      <c r="Q54" s="631">
        <f t="shared" si="69"/>
        <v>4.9</v>
      </c>
      <c r="R54" s="634"/>
      <c r="S54" s="631">
        <f t="shared" si="44"/>
        <v>0</v>
      </c>
      <c r="T54" s="634"/>
      <c r="U54" s="631">
        <f t="shared" si="45"/>
        <v>0</v>
      </c>
      <c r="V54" s="637"/>
      <c r="W54" s="636">
        <f t="shared" si="46"/>
        <v>0</v>
      </c>
      <c r="X54" s="634"/>
      <c r="Y54" s="631">
        <f t="shared" si="70"/>
        <v>0</v>
      </c>
      <c r="Z54" s="637"/>
      <c r="AA54" s="636">
        <f t="shared" si="48"/>
        <v>0</v>
      </c>
      <c r="AB54" s="634"/>
      <c r="AC54" s="631">
        <f t="shared" si="49"/>
        <v>0</v>
      </c>
      <c r="AD54" s="638">
        <f>'[1]Commande Souvenirs, librairie'!F36</f>
        <v>3.42</v>
      </c>
      <c r="AE54" s="989"/>
      <c r="AF54" s="1151"/>
      <c r="AG54" s="662">
        <f t="shared" si="75"/>
        <v>1.4800000000000004</v>
      </c>
      <c r="AH54" s="1003">
        <f t="shared" si="72"/>
        <v>2.960000000000001</v>
      </c>
      <c r="AI54" s="1004">
        <f t="shared" si="64"/>
        <v>9.8</v>
      </c>
      <c r="AJ54" s="1005">
        <f t="shared" si="58"/>
        <v>2</v>
      </c>
      <c r="AK54" s="1006">
        <v>18</v>
      </c>
      <c r="AL54" s="1007">
        <v>24</v>
      </c>
      <c r="AM54" s="1007">
        <v>20</v>
      </c>
      <c r="AN54" s="1007"/>
      <c r="AO54" s="1007"/>
      <c r="AP54" s="1008">
        <f t="shared" si="59"/>
        <v>20</v>
      </c>
      <c r="AQ54" s="1009"/>
    </row>
    <row r="55" spans="1:43" ht="20.25">
      <c r="A55" s="1150"/>
      <c r="B55" s="1155"/>
      <c r="C55" s="1157" t="s">
        <v>665</v>
      </c>
      <c r="D55" s="1018">
        <v>7</v>
      </c>
      <c r="E55" s="1019"/>
      <c r="F55" s="729"/>
      <c r="G55" s="728">
        <f t="shared" si="71"/>
        <v>0</v>
      </c>
      <c r="H55" s="49"/>
      <c r="I55" s="724">
        <f t="shared" si="51"/>
        <v>0</v>
      </c>
      <c r="J55" s="729"/>
      <c r="K55" s="728"/>
      <c r="L55" s="49"/>
      <c r="M55" s="724">
        <f t="shared" si="53"/>
        <v>0</v>
      </c>
      <c r="N55" s="729"/>
      <c r="O55" s="728">
        <f t="shared" si="42"/>
        <v>0</v>
      </c>
      <c r="P55" s="727"/>
      <c r="Q55" s="724">
        <f t="shared" si="69"/>
        <v>0</v>
      </c>
      <c r="R55" s="49"/>
      <c r="S55" s="724">
        <f t="shared" si="44"/>
        <v>0</v>
      </c>
      <c r="T55" s="49"/>
      <c r="U55" s="724">
        <f t="shared" si="45"/>
        <v>0</v>
      </c>
      <c r="V55" s="729"/>
      <c r="W55" s="728">
        <f t="shared" si="46"/>
        <v>0</v>
      </c>
      <c r="X55" s="49"/>
      <c r="Y55" s="724">
        <f t="shared" si="70"/>
        <v>0</v>
      </c>
      <c r="Z55" s="729"/>
      <c r="AA55" s="728">
        <f t="shared" si="48"/>
        <v>0</v>
      </c>
      <c r="AB55" s="49"/>
      <c r="AC55" s="724">
        <f t="shared" si="49"/>
        <v>0</v>
      </c>
      <c r="AD55" s="730"/>
      <c r="AE55" s="1158"/>
      <c r="AF55" s="1151"/>
      <c r="AG55" s="662"/>
      <c r="AH55" s="1003"/>
      <c r="AI55" s="1004"/>
      <c r="AJ55" s="1005">
        <f t="shared" si="58"/>
        <v>0</v>
      </c>
      <c r="AK55" s="1006">
        <v>0</v>
      </c>
      <c r="AL55" s="1007">
        <v>15</v>
      </c>
      <c r="AM55" s="1007">
        <v>15</v>
      </c>
      <c r="AN55" s="1007"/>
      <c r="AO55" s="1007"/>
      <c r="AP55" s="1008">
        <f t="shared" si="59"/>
        <v>0</v>
      </c>
      <c r="AQ55" s="1009"/>
    </row>
    <row r="56" spans="1:43" ht="20.25">
      <c r="A56" s="1150"/>
      <c r="B56" s="1155"/>
      <c r="C56" s="1159" t="s">
        <v>666</v>
      </c>
      <c r="D56" s="999">
        <v>9.9</v>
      </c>
      <c r="E56" s="1000"/>
      <c r="F56" s="659"/>
      <c r="G56" s="658">
        <f t="shared" si="71"/>
        <v>0</v>
      </c>
      <c r="H56" s="68"/>
      <c r="I56" s="654">
        <f t="shared" si="51"/>
        <v>0</v>
      </c>
      <c r="J56" s="659"/>
      <c r="K56" s="658">
        <f aca="true" t="shared" si="76" ref="K56:K109">J56*D56</f>
        <v>0</v>
      </c>
      <c r="L56" s="68"/>
      <c r="M56" s="654">
        <f t="shared" si="53"/>
        <v>0</v>
      </c>
      <c r="N56" s="659"/>
      <c r="O56" s="658">
        <f t="shared" si="42"/>
        <v>0</v>
      </c>
      <c r="P56" s="657"/>
      <c r="Q56" s="654">
        <f t="shared" si="69"/>
        <v>0</v>
      </c>
      <c r="R56" s="68"/>
      <c r="S56" s="654">
        <f t="shared" si="44"/>
        <v>0</v>
      </c>
      <c r="T56" s="68"/>
      <c r="U56" s="654">
        <f t="shared" si="45"/>
        <v>0</v>
      </c>
      <c r="V56" s="659"/>
      <c r="W56" s="658">
        <f t="shared" si="46"/>
        <v>0</v>
      </c>
      <c r="X56" s="68"/>
      <c r="Y56" s="654">
        <f t="shared" si="70"/>
        <v>0</v>
      </c>
      <c r="Z56" s="659"/>
      <c r="AA56" s="658">
        <f t="shared" si="48"/>
        <v>0</v>
      </c>
      <c r="AB56" s="68"/>
      <c r="AC56" s="654">
        <f t="shared" si="49"/>
        <v>0</v>
      </c>
      <c r="AD56" s="660">
        <f>'[1]Commande Souvenirs, librairie'!F32</f>
        <v>5.4</v>
      </c>
      <c r="AE56" s="1002"/>
      <c r="AF56" s="1151"/>
      <c r="AG56" s="662">
        <f aca="true" t="shared" si="77" ref="AG56:AG66">D56-AD56</f>
        <v>4.5</v>
      </c>
      <c r="AH56" s="1003">
        <f aca="true" t="shared" si="78" ref="AH56:AH68">AG56*AJ56</f>
        <v>0</v>
      </c>
      <c r="AI56" s="1004">
        <f aca="true" t="shared" si="79" ref="AI56:AI74">SUM(AC56+AA56+Y56+W56+U56+S56+Q56+O56+M56+K56+I56+G56)</f>
        <v>0</v>
      </c>
      <c r="AJ56" s="1005">
        <f t="shared" si="58"/>
        <v>0</v>
      </c>
      <c r="AK56" s="1006">
        <v>2</v>
      </c>
      <c r="AL56" s="1007"/>
      <c r="AM56" s="1007"/>
      <c r="AN56" s="1007"/>
      <c r="AO56" s="1007"/>
      <c r="AP56" s="1008">
        <f t="shared" si="59"/>
        <v>2</v>
      </c>
      <c r="AQ56" s="1009"/>
    </row>
    <row r="57" spans="1:43" ht="20.25">
      <c r="A57" s="1150"/>
      <c r="B57" s="1155"/>
      <c r="C57" s="1159" t="s">
        <v>667</v>
      </c>
      <c r="D57" s="999">
        <v>11</v>
      </c>
      <c r="E57" s="1000"/>
      <c r="F57" s="659"/>
      <c r="G57" s="658">
        <f t="shared" si="71"/>
        <v>0</v>
      </c>
      <c r="H57" s="68"/>
      <c r="I57" s="654">
        <f t="shared" si="51"/>
        <v>0</v>
      </c>
      <c r="J57" s="659"/>
      <c r="K57" s="658">
        <f t="shared" si="76"/>
        <v>0</v>
      </c>
      <c r="L57" s="68"/>
      <c r="M57" s="654">
        <f t="shared" si="53"/>
        <v>0</v>
      </c>
      <c r="N57" s="659"/>
      <c r="O57" s="658">
        <f t="shared" si="42"/>
        <v>0</v>
      </c>
      <c r="P57" s="657"/>
      <c r="Q57" s="654">
        <f t="shared" si="69"/>
        <v>0</v>
      </c>
      <c r="R57" s="68"/>
      <c r="S57" s="654">
        <f t="shared" si="44"/>
        <v>0</v>
      </c>
      <c r="T57" s="68"/>
      <c r="U57" s="654">
        <f t="shared" si="45"/>
        <v>0</v>
      </c>
      <c r="V57" s="659"/>
      <c r="W57" s="658">
        <f t="shared" si="46"/>
        <v>0</v>
      </c>
      <c r="X57" s="68"/>
      <c r="Y57" s="654">
        <f t="shared" si="70"/>
        <v>0</v>
      </c>
      <c r="Z57" s="659"/>
      <c r="AA57" s="658">
        <f t="shared" si="48"/>
        <v>0</v>
      </c>
      <c r="AB57" s="68"/>
      <c r="AC57" s="654">
        <f t="shared" si="49"/>
        <v>0</v>
      </c>
      <c r="AD57" s="660">
        <f>'[1]Commande Souvenirs, librairie'!F33</f>
        <v>6</v>
      </c>
      <c r="AE57" s="1002"/>
      <c r="AF57" s="1151"/>
      <c r="AG57" s="662">
        <f t="shared" si="77"/>
        <v>5</v>
      </c>
      <c r="AH57" s="1003">
        <f t="shared" si="78"/>
        <v>0</v>
      </c>
      <c r="AI57" s="1004">
        <f t="shared" si="79"/>
        <v>0</v>
      </c>
      <c r="AJ57" s="1005">
        <f t="shared" si="58"/>
        <v>0</v>
      </c>
      <c r="AK57" s="1006">
        <v>3</v>
      </c>
      <c r="AL57" s="1007"/>
      <c r="AM57" s="1007"/>
      <c r="AN57" s="1007"/>
      <c r="AO57" s="1007"/>
      <c r="AP57" s="1008">
        <f t="shared" si="59"/>
        <v>3</v>
      </c>
      <c r="AQ57" s="1009"/>
    </row>
    <row r="58" spans="1:43" ht="20.25">
      <c r="A58" s="1150"/>
      <c r="B58" s="1155"/>
      <c r="C58" s="1159" t="s">
        <v>668</v>
      </c>
      <c r="D58" s="999">
        <v>7.5</v>
      </c>
      <c r="E58" s="1000"/>
      <c r="F58" s="659"/>
      <c r="G58" s="658">
        <f t="shared" si="71"/>
        <v>0</v>
      </c>
      <c r="H58" s="68"/>
      <c r="I58" s="654">
        <f t="shared" si="51"/>
        <v>0</v>
      </c>
      <c r="J58" s="659"/>
      <c r="K58" s="658">
        <f t="shared" si="76"/>
        <v>0</v>
      </c>
      <c r="L58" s="68"/>
      <c r="M58" s="654">
        <f t="shared" si="53"/>
        <v>0</v>
      </c>
      <c r="N58" s="659"/>
      <c r="O58" s="658">
        <f t="shared" si="42"/>
        <v>0</v>
      </c>
      <c r="P58" s="657"/>
      <c r="Q58" s="654">
        <f t="shared" si="69"/>
        <v>0</v>
      </c>
      <c r="R58" s="68"/>
      <c r="S58" s="654">
        <f t="shared" si="44"/>
        <v>0</v>
      </c>
      <c r="T58" s="68"/>
      <c r="U58" s="654">
        <f t="shared" si="45"/>
        <v>0</v>
      </c>
      <c r="V58" s="659"/>
      <c r="W58" s="658">
        <f t="shared" si="46"/>
        <v>0</v>
      </c>
      <c r="X58" s="68"/>
      <c r="Y58" s="654">
        <f t="shared" si="70"/>
        <v>0</v>
      </c>
      <c r="Z58" s="659"/>
      <c r="AA58" s="658">
        <f t="shared" si="48"/>
        <v>0</v>
      </c>
      <c r="AB58" s="68"/>
      <c r="AC58" s="654">
        <f t="shared" si="49"/>
        <v>0</v>
      </c>
      <c r="AD58" s="660">
        <f>'[1]Commande Souvenirs, librairie'!F42</f>
        <v>3.6</v>
      </c>
      <c r="AE58" s="1002"/>
      <c r="AF58" s="1151"/>
      <c r="AG58" s="662">
        <f t="shared" si="77"/>
        <v>3.9</v>
      </c>
      <c r="AH58" s="1003">
        <f t="shared" si="78"/>
        <v>0</v>
      </c>
      <c r="AI58" s="1004">
        <f t="shared" si="79"/>
        <v>0</v>
      </c>
      <c r="AJ58" s="1005">
        <f t="shared" si="58"/>
        <v>0</v>
      </c>
      <c r="AK58" s="1006">
        <v>10</v>
      </c>
      <c r="AL58" s="1007">
        <v>15</v>
      </c>
      <c r="AM58" s="1007">
        <v>27</v>
      </c>
      <c r="AN58" s="1007"/>
      <c r="AO58" s="1007"/>
      <c r="AP58" s="1008">
        <f t="shared" si="59"/>
        <v>-2</v>
      </c>
      <c r="AQ58" s="1009"/>
    </row>
    <row r="59" spans="1:43" ht="20.25">
      <c r="A59" s="1150"/>
      <c r="B59" s="1155"/>
      <c r="C59" s="1159" t="s">
        <v>669</v>
      </c>
      <c r="D59" s="999">
        <v>4</v>
      </c>
      <c r="E59" s="1000"/>
      <c r="F59" s="659"/>
      <c r="G59" s="658">
        <f t="shared" si="71"/>
        <v>0</v>
      </c>
      <c r="H59" s="68"/>
      <c r="I59" s="654">
        <f t="shared" si="51"/>
        <v>0</v>
      </c>
      <c r="J59" s="659"/>
      <c r="K59" s="658">
        <f t="shared" si="76"/>
        <v>0</v>
      </c>
      <c r="L59" s="68"/>
      <c r="M59" s="654">
        <f t="shared" si="53"/>
        <v>0</v>
      </c>
      <c r="N59" s="659">
        <v>1</v>
      </c>
      <c r="O59" s="658">
        <f t="shared" si="42"/>
        <v>4</v>
      </c>
      <c r="P59" s="657"/>
      <c r="Q59" s="654">
        <f t="shared" si="69"/>
        <v>0</v>
      </c>
      <c r="R59" s="68"/>
      <c r="S59" s="654">
        <f t="shared" si="44"/>
        <v>0</v>
      </c>
      <c r="T59" s="68"/>
      <c r="U59" s="654">
        <f t="shared" si="45"/>
        <v>0</v>
      </c>
      <c r="V59" s="659"/>
      <c r="W59" s="658">
        <f t="shared" si="46"/>
        <v>0</v>
      </c>
      <c r="X59" s="68"/>
      <c r="Y59" s="654">
        <f t="shared" si="70"/>
        <v>0</v>
      </c>
      <c r="Z59" s="659"/>
      <c r="AA59" s="658">
        <f t="shared" si="48"/>
        <v>0</v>
      </c>
      <c r="AB59" s="68"/>
      <c r="AC59" s="654">
        <f t="shared" si="49"/>
        <v>0</v>
      </c>
      <c r="AD59" s="660">
        <f>'[1]Commande Souvenirs, librairie'!F38</f>
        <v>1.8</v>
      </c>
      <c r="AE59" s="1002"/>
      <c r="AF59" s="1151"/>
      <c r="AG59" s="662">
        <f t="shared" si="77"/>
        <v>2.2</v>
      </c>
      <c r="AH59" s="1003">
        <f t="shared" si="78"/>
        <v>2.2</v>
      </c>
      <c r="AI59" s="1004">
        <f t="shared" si="79"/>
        <v>4</v>
      </c>
      <c r="AJ59" s="1005">
        <f t="shared" si="58"/>
        <v>1</v>
      </c>
      <c r="AK59" s="1006">
        <v>38</v>
      </c>
      <c r="AL59" s="1007"/>
      <c r="AM59" s="1007"/>
      <c r="AN59" s="1007"/>
      <c r="AO59" s="1007"/>
      <c r="AP59" s="1008">
        <f t="shared" si="59"/>
        <v>37</v>
      </c>
      <c r="AQ59" s="1009"/>
    </row>
    <row r="60" spans="1:43" ht="20.25">
      <c r="A60" s="1150"/>
      <c r="B60" s="1155"/>
      <c r="C60" s="1159" t="s">
        <v>670</v>
      </c>
      <c r="D60" s="999">
        <v>3</v>
      </c>
      <c r="E60" s="1000"/>
      <c r="F60" s="659"/>
      <c r="G60" s="658">
        <f t="shared" si="71"/>
        <v>0</v>
      </c>
      <c r="H60" s="68"/>
      <c r="I60" s="654">
        <f t="shared" si="51"/>
        <v>0</v>
      </c>
      <c r="J60" s="659">
        <v>1</v>
      </c>
      <c r="K60" s="658">
        <f t="shared" si="76"/>
        <v>3</v>
      </c>
      <c r="L60" s="68"/>
      <c r="M60" s="654">
        <f t="shared" si="53"/>
        <v>0</v>
      </c>
      <c r="N60" s="659"/>
      <c r="O60" s="658">
        <f t="shared" si="42"/>
        <v>0</v>
      </c>
      <c r="P60" s="657">
        <v>1</v>
      </c>
      <c r="Q60" s="654">
        <f t="shared" si="69"/>
        <v>3</v>
      </c>
      <c r="R60" s="68"/>
      <c r="S60" s="654">
        <f t="shared" si="44"/>
        <v>0</v>
      </c>
      <c r="T60" s="68"/>
      <c r="U60" s="654">
        <f t="shared" si="45"/>
        <v>0</v>
      </c>
      <c r="V60" s="659"/>
      <c r="W60" s="658">
        <f t="shared" si="46"/>
        <v>0</v>
      </c>
      <c r="X60" s="68"/>
      <c r="Y60" s="654">
        <f t="shared" si="70"/>
        <v>0</v>
      </c>
      <c r="Z60" s="659"/>
      <c r="AA60" s="658">
        <f t="shared" si="48"/>
        <v>0</v>
      </c>
      <c r="AB60" s="68"/>
      <c r="AC60" s="654">
        <f t="shared" si="49"/>
        <v>0</v>
      </c>
      <c r="AD60" s="660">
        <f>'[1]Commande Souvenirs, librairie'!F35</f>
        <v>1.5</v>
      </c>
      <c r="AE60" s="1002"/>
      <c r="AF60" s="1151"/>
      <c r="AG60" s="662">
        <f t="shared" si="77"/>
        <v>1.5</v>
      </c>
      <c r="AH60" s="1003">
        <f t="shared" si="78"/>
        <v>3</v>
      </c>
      <c r="AI60" s="1004">
        <f t="shared" si="79"/>
        <v>6</v>
      </c>
      <c r="AJ60" s="1005">
        <f t="shared" si="58"/>
        <v>2</v>
      </c>
      <c r="AK60" s="1006">
        <v>46</v>
      </c>
      <c r="AL60" s="1007"/>
      <c r="AM60" s="1007">
        <v>10</v>
      </c>
      <c r="AN60" s="1007"/>
      <c r="AO60" s="1007"/>
      <c r="AP60" s="1008">
        <f t="shared" si="59"/>
        <v>34</v>
      </c>
      <c r="AQ60" s="1009"/>
    </row>
    <row r="61" spans="1:43" ht="20.25">
      <c r="A61" s="1150"/>
      <c r="B61" s="1155"/>
      <c r="C61" s="1159" t="s">
        <v>671</v>
      </c>
      <c r="D61" s="999">
        <v>3</v>
      </c>
      <c r="E61" s="1000"/>
      <c r="F61" s="659"/>
      <c r="G61" s="658">
        <f t="shared" si="71"/>
        <v>0</v>
      </c>
      <c r="H61" s="68"/>
      <c r="I61" s="654">
        <f t="shared" si="51"/>
        <v>0</v>
      </c>
      <c r="J61" s="659"/>
      <c r="K61" s="658">
        <f t="shared" si="76"/>
        <v>0</v>
      </c>
      <c r="L61" s="68"/>
      <c r="M61" s="654">
        <f t="shared" si="53"/>
        <v>0</v>
      </c>
      <c r="N61" s="659"/>
      <c r="O61" s="658">
        <f t="shared" si="42"/>
        <v>0</v>
      </c>
      <c r="P61" s="657"/>
      <c r="Q61" s="654">
        <f t="shared" si="69"/>
        <v>0</v>
      </c>
      <c r="R61" s="68"/>
      <c r="S61" s="654">
        <f t="shared" si="44"/>
        <v>0</v>
      </c>
      <c r="T61" s="68"/>
      <c r="U61" s="654">
        <f t="shared" si="45"/>
        <v>0</v>
      </c>
      <c r="V61" s="659"/>
      <c r="W61" s="658">
        <f t="shared" si="46"/>
        <v>0</v>
      </c>
      <c r="X61" s="68"/>
      <c r="Y61" s="654">
        <f t="shared" si="70"/>
        <v>0</v>
      </c>
      <c r="Z61" s="659"/>
      <c r="AA61" s="658">
        <f t="shared" si="48"/>
        <v>0</v>
      </c>
      <c r="AB61" s="68"/>
      <c r="AC61" s="654">
        <f t="shared" si="49"/>
        <v>0</v>
      </c>
      <c r="AD61" s="660">
        <v>1.8</v>
      </c>
      <c r="AE61" s="1002"/>
      <c r="AF61" s="1151"/>
      <c r="AG61" s="662">
        <f t="shared" si="77"/>
        <v>1.2</v>
      </c>
      <c r="AH61" s="1003">
        <f t="shared" si="78"/>
        <v>0</v>
      </c>
      <c r="AI61" s="1004">
        <f t="shared" si="79"/>
        <v>0</v>
      </c>
      <c r="AJ61" s="1005">
        <f t="shared" si="58"/>
        <v>0</v>
      </c>
      <c r="AK61" s="1006">
        <v>3</v>
      </c>
      <c r="AL61" s="1007"/>
      <c r="AM61" s="1007"/>
      <c r="AN61" s="1007"/>
      <c r="AO61" s="1007"/>
      <c r="AP61" s="1008">
        <f t="shared" si="59"/>
        <v>3</v>
      </c>
      <c r="AQ61" s="1009"/>
    </row>
    <row r="62" spans="1:43" ht="20.25">
      <c r="A62" s="1150"/>
      <c r="B62" s="1155"/>
      <c r="C62" s="1159" t="s">
        <v>612</v>
      </c>
      <c r="D62" s="999">
        <v>3.5</v>
      </c>
      <c r="E62" s="1000"/>
      <c r="F62" s="659"/>
      <c r="G62" s="658">
        <f t="shared" si="71"/>
        <v>0</v>
      </c>
      <c r="H62" s="68"/>
      <c r="I62" s="654">
        <f t="shared" si="51"/>
        <v>0</v>
      </c>
      <c r="J62" s="659"/>
      <c r="K62" s="658">
        <f t="shared" si="76"/>
        <v>0</v>
      </c>
      <c r="L62" s="68"/>
      <c r="M62" s="654">
        <f t="shared" si="53"/>
        <v>0</v>
      </c>
      <c r="N62" s="659"/>
      <c r="O62" s="658">
        <f t="shared" si="42"/>
        <v>0</v>
      </c>
      <c r="P62" s="657">
        <v>1</v>
      </c>
      <c r="Q62" s="654">
        <f t="shared" si="69"/>
        <v>3.5</v>
      </c>
      <c r="R62" s="68"/>
      <c r="S62" s="654">
        <f t="shared" si="44"/>
        <v>0</v>
      </c>
      <c r="T62" s="68"/>
      <c r="U62" s="654">
        <f t="shared" si="45"/>
        <v>0</v>
      </c>
      <c r="V62" s="659"/>
      <c r="W62" s="658">
        <f t="shared" si="46"/>
        <v>0</v>
      </c>
      <c r="X62" s="68"/>
      <c r="Y62" s="654">
        <f t="shared" si="70"/>
        <v>0</v>
      </c>
      <c r="Z62" s="659"/>
      <c r="AA62" s="658">
        <f t="shared" si="48"/>
        <v>0</v>
      </c>
      <c r="AB62" s="68"/>
      <c r="AC62" s="654">
        <f t="shared" si="49"/>
        <v>0</v>
      </c>
      <c r="AD62" s="660">
        <f>'[1]Commande Souvenirs, librairie'!F47</f>
        <v>1.86</v>
      </c>
      <c r="AE62" s="1002"/>
      <c r="AF62" s="1151"/>
      <c r="AG62" s="662">
        <f t="shared" si="77"/>
        <v>1.64</v>
      </c>
      <c r="AH62" s="1003">
        <f t="shared" si="78"/>
        <v>1.64</v>
      </c>
      <c r="AI62" s="1004">
        <f t="shared" si="79"/>
        <v>3.5</v>
      </c>
      <c r="AJ62" s="1005">
        <f t="shared" si="58"/>
        <v>1</v>
      </c>
      <c r="AK62" s="1006">
        <v>52</v>
      </c>
      <c r="AL62" s="1007"/>
      <c r="AM62" s="1007">
        <v>4</v>
      </c>
      <c r="AN62" s="1007"/>
      <c r="AO62" s="1007"/>
      <c r="AP62" s="1008">
        <f t="shared" si="59"/>
        <v>47</v>
      </c>
      <c r="AQ62" s="1009"/>
    </row>
    <row r="63" spans="1:43" ht="20.25">
      <c r="A63" s="1150"/>
      <c r="B63" s="1155"/>
      <c r="C63" s="1159" t="s">
        <v>672</v>
      </c>
      <c r="D63" s="999">
        <v>2.5</v>
      </c>
      <c r="E63" s="1000"/>
      <c r="F63" s="659"/>
      <c r="G63" s="658">
        <f t="shared" si="71"/>
        <v>0</v>
      </c>
      <c r="H63" s="68"/>
      <c r="I63" s="654">
        <f t="shared" si="51"/>
        <v>0</v>
      </c>
      <c r="J63" s="659"/>
      <c r="K63" s="658">
        <f t="shared" si="76"/>
        <v>0</v>
      </c>
      <c r="L63" s="68"/>
      <c r="M63" s="654">
        <f t="shared" si="53"/>
        <v>0</v>
      </c>
      <c r="N63" s="659"/>
      <c r="O63" s="658">
        <f t="shared" si="42"/>
        <v>0</v>
      </c>
      <c r="P63" s="657"/>
      <c r="Q63" s="654">
        <f t="shared" si="69"/>
        <v>0</v>
      </c>
      <c r="R63" s="68"/>
      <c r="S63" s="654">
        <f t="shared" si="44"/>
        <v>0</v>
      </c>
      <c r="T63" s="68"/>
      <c r="U63" s="654">
        <f t="shared" si="45"/>
        <v>0</v>
      </c>
      <c r="V63" s="659"/>
      <c r="W63" s="658">
        <f t="shared" si="46"/>
        <v>0</v>
      </c>
      <c r="X63" s="68"/>
      <c r="Y63" s="654">
        <f t="shared" si="70"/>
        <v>0</v>
      </c>
      <c r="Z63" s="659"/>
      <c r="AA63" s="658">
        <f t="shared" si="48"/>
        <v>0</v>
      </c>
      <c r="AB63" s="68"/>
      <c r="AC63" s="654">
        <f t="shared" si="49"/>
        <v>0</v>
      </c>
      <c r="AD63" s="660">
        <f>'[1]Commande Souvenirs, librairie'!F40</f>
        <v>1.2</v>
      </c>
      <c r="AE63" s="1002"/>
      <c r="AF63" s="1151"/>
      <c r="AG63" s="662">
        <f t="shared" si="77"/>
        <v>1.3</v>
      </c>
      <c r="AH63" s="1003">
        <f t="shared" si="78"/>
        <v>0</v>
      </c>
      <c r="AI63" s="1004">
        <f t="shared" si="79"/>
        <v>0</v>
      </c>
      <c r="AJ63" s="1005">
        <f t="shared" si="58"/>
        <v>0</v>
      </c>
      <c r="AK63" s="1006">
        <v>286</v>
      </c>
      <c r="AL63" s="1007"/>
      <c r="AM63" s="1007"/>
      <c r="AN63" s="1007"/>
      <c r="AO63" s="1007"/>
      <c r="AP63" s="1008">
        <f t="shared" si="59"/>
        <v>286</v>
      </c>
      <c r="AQ63" s="1009"/>
    </row>
    <row r="64" spans="1:43" ht="20.25">
      <c r="A64" s="1150"/>
      <c r="B64" s="1155"/>
      <c r="C64" s="1159" t="s">
        <v>673</v>
      </c>
      <c r="D64" s="999">
        <v>2.5</v>
      </c>
      <c r="E64" s="1000"/>
      <c r="F64" s="659"/>
      <c r="G64" s="658">
        <f t="shared" si="71"/>
        <v>0</v>
      </c>
      <c r="H64" s="68"/>
      <c r="I64" s="654">
        <f t="shared" si="51"/>
        <v>0</v>
      </c>
      <c r="J64" s="659">
        <v>1</v>
      </c>
      <c r="K64" s="658">
        <f t="shared" si="76"/>
        <v>2.5</v>
      </c>
      <c r="L64" s="68"/>
      <c r="M64" s="654">
        <f t="shared" si="53"/>
        <v>0</v>
      </c>
      <c r="N64" s="659"/>
      <c r="O64" s="658">
        <f t="shared" si="42"/>
        <v>0</v>
      </c>
      <c r="P64" s="657"/>
      <c r="Q64" s="654">
        <f t="shared" si="69"/>
        <v>0</v>
      </c>
      <c r="R64" s="68"/>
      <c r="S64" s="654">
        <f t="shared" si="44"/>
        <v>0</v>
      </c>
      <c r="T64" s="68"/>
      <c r="U64" s="654">
        <f t="shared" si="45"/>
        <v>0</v>
      </c>
      <c r="V64" s="659"/>
      <c r="W64" s="658">
        <f t="shared" si="46"/>
        <v>0</v>
      </c>
      <c r="X64" s="68"/>
      <c r="Y64" s="654">
        <f t="shared" si="70"/>
        <v>0</v>
      </c>
      <c r="Z64" s="659"/>
      <c r="AA64" s="658">
        <f t="shared" si="48"/>
        <v>0</v>
      </c>
      <c r="AB64" s="68"/>
      <c r="AC64" s="654">
        <f t="shared" si="49"/>
        <v>0</v>
      </c>
      <c r="AD64" s="660">
        <f>'[1]Commande Souvenirs, librairie'!F41</f>
        <v>0.48000000000000004</v>
      </c>
      <c r="AE64" s="1002"/>
      <c r="AF64" s="1151"/>
      <c r="AG64" s="662">
        <f t="shared" si="77"/>
        <v>2.02</v>
      </c>
      <c r="AH64" s="1003">
        <f t="shared" si="78"/>
        <v>2.02</v>
      </c>
      <c r="AI64" s="1004">
        <f t="shared" si="79"/>
        <v>2.5</v>
      </c>
      <c r="AJ64" s="1005">
        <f t="shared" si="58"/>
        <v>1</v>
      </c>
      <c r="AK64" s="1006">
        <v>10</v>
      </c>
      <c r="AL64" s="1007"/>
      <c r="AM64" s="1007"/>
      <c r="AN64" s="1007"/>
      <c r="AO64" s="1007"/>
      <c r="AP64" s="1008">
        <f t="shared" si="59"/>
        <v>9</v>
      </c>
      <c r="AQ64" s="1009"/>
    </row>
    <row r="65" spans="1:43" ht="20.25">
      <c r="A65" s="1150"/>
      <c r="B65" s="1155"/>
      <c r="C65" s="1159" t="s">
        <v>674</v>
      </c>
      <c r="D65" s="999">
        <v>1.5</v>
      </c>
      <c r="E65" s="1000"/>
      <c r="F65" s="659"/>
      <c r="G65" s="658">
        <f t="shared" si="71"/>
        <v>0</v>
      </c>
      <c r="H65" s="68">
        <v>1</v>
      </c>
      <c r="I65" s="654">
        <f t="shared" si="51"/>
        <v>1.5</v>
      </c>
      <c r="J65" s="659"/>
      <c r="K65" s="658">
        <f t="shared" si="76"/>
        <v>0</v>
      </c>
      <c r="L65" s="68"/>
      <c r="M65" s="654">
        <f t="shared" si="53"/>
        <v>0</v>
      </c>
      <c r="N65" s="659"/>
      <c r="O65" s="658">
        <f t="shared" si="42"/>
        <v>0</v>
      </c>
      <c r="P65" s="657">
        <v>1</v>
      </c>
      <c r="Q65" s="654">
        <f t="shared" si="69"/>
        <v>1.5</v>
      </c>
      <c r="R65" s="68"/>
      <c r="S65" s="654">
        <f t="shared" si="44"/>
        <v>0</v>
      </c>
      <c r="T65" s="68"/>
      <c r="U65" s="654">
        <f t="shared" si="45"/>
        <v>0</v>
      </c>
      <c r="V65" s="659"/>
      <c r="W65" s="658">
        <f t="shared" si="46"/>
        <v>0</v>
      </c>
      <c r="X65" s="68"/>
      <c r="Y65" s="654">
        <f t="shared" si="70"/>
        <v>0</v>
      </c>
      <c r="Z65" s="659"/>
      <c r="AA65" s="658">
        <f t="shared" si="48"/>
        <v>0</v>
      </c>
      <c r="AB65" s="68"/>
      <c r="AC65" s="654">
        <f t="shared" si="49"/>
        <v>0</v>
      </c>
      <c r="AD65" s="660">
        <f>'[1]Commande Souvenirs, librairie'!F41</f>
        <v>0.48000000000000004</v>
      </c>
      <c r="AE65" s="1002"/>
      <c r="AF65" s="1151"/>
      <c r="AG65" s="662">
        <f t="shared" si="77"/>
        <v>1.02</v>
      </c>
      <c r="AH65" s="1003">
        <f t="shared" si="78"/>
        <v>2.04</v>
      </c>
      <c r="AI65" s="1004">
        <f t="shared" si="79"/>
        <v>3</v>
      </c>
      <c r="AJ65" s="1005">
        <f t="shared" si="58"/>
        <v>2</v>
      </c>
      <c r="AK65" s="1006">
        <v>126</v>
      </c>
      <c r="AL65" s="1007"/>
      <c r="AM65" s="1007">
        <v>15</v>
      </c>
      <c r="AN65" s="1007"/>
      <c r="AO65" s="1007"/>
      <c r="AP65" s="1008">
        <f t="shared" si="59"/>
        <v>109</v>
      </c>
      <c r="AQ65" s="1009"/>
    </row>
    <row r="66" spans="1:43" ht="20.25">
      <c r="A66" s="1150"/>
      <c r="B66" s="1155"/>
      <c r="C66" s="1159" t="s">
        <v>675</v>
      </c>
      <c r="D66" s="999">
        <v>7.9</v>
      </c>
      <c r="E66" s="1000"/>
      <c r="F66" s="659">
        <v>1</v>
      </c>
      <c r="G66" s="658">
        <f t="shared" si="71"/>
        <v>7.9</v>
      </c>
      <c r="H66" s="68"/>
      <c r="I66" s="654">
        <f t="shared" si="51"/>
        <v>0</v>
      </c>
      <c r="J66" s="659"/>
      <c r="K66" s="658">
        <f t="shared" si="76"/>
        <v>0</v>
      </c>
      <c r="L66" s="68"/>
      <c r="M66" s="654">
        <f t="shared" si="53"/>
        <v>0</v>
      </c>
      <c r="N66" s="659"/>
      <c r="O66" s="658">
        <f t="shared" si="42"/>
        <v>0</v>
      </c>
      <c r="P66" s="657"/>
      <c r="Q66" s="654">
        <f t="shared" si="69"/>
        <v>0</v>
      </c>
      <c r="R66" s="68"/>
      <c r="S66" s="654">
        <f t="shared" si="44"/>
        <v>0</v>
      </c>
      <c r="T66" s="68"/>
      <c r="U66" s="654">
        <f t="shared" si="45"/>
        <v>0</v>
      </c>
      <c r="V66" s="659"/>
      <c r="W66" s="658">
        <f t="shared" si="46"/>
        <v>0</v>
      </c>
      <c r="X66" s="68"/>
      <c r="Y66" s="654">
        <f t="shared" si="70"/>
        <v>0</v>
      </c>
      <c r="Z66" s="659"/>
      <c r="AA66" s="658">
        <f t="shared" si="48"/>
        <v>0</v>
      </c>
      <c r="AB66" s="68"/>
      <c r="AC66" s="654">
        <f t="shared" si="49"/>
        <v>0</v>
      </c>
      <c r="AD66" s="660">
        <f>'[1]Commande Souvenirs, librairie'!F156</f>
        <v>5.808000000000001</v>
      </c>
      <c r="AE66" s="1002"/>
      <c r="AF66" s="1151"/>
      <c r="AG66" s="662">
        <f t="shared" si="77"/>
        <v>2.0919999999999996</v>
      </c>
      <c r="AH66" s="1003">
        <f t="shared" si="78"/>
        <v>2.0919999999999996</v>
      </c>
      <c r="AI66" s="1004">
        <f t="shared" si="79"/>
        <v>7.9</v>
      </c>
      <c r="AJ66" s="1005">
        <f t="shared" si="58"/>
        <v>1</v>
      </c>
      <c r="AK66" s="1006">
        <v>149</v>
      </c>
      <c r="AL66" s="1007"/>
      <c r="AM66" s="1007">
        <v>10</v>
      </c>
      <c r="AN66" s="1007"/>
      <c r="AO66" s="1007"/>
      <c r="AP66" s="1008">
        <f t="shared" si="59"/>
        <v>138</v>
      </c>
      <c r="AQ66" s="1009"/>
    </row>
    <row r="67" spans="1:43" ht="20.25">
      <c r="A67" s="1150"/>
      <c r="B67" s="1155"/>
      <c r="C67" s="1159" t="s">
        <v>676</v>
      </c>
      <c r="D67" s="999">
        <v>13.9</v>
      </c>
      <c r="E67" s="1000"/>
      <c r="F67" s="659"/>
      <c r="G67" s="658">
        <f t="shared" si="71"/>
        <v>0</v>
      </c>
      <c r="H67" s="68">
        <v>1</v>
      </c>
      <c r="I67" s="654">
        <f t="shared" si="51"/>
        <v>13.9</v>
      </c>
      <c r="J67" s="659"/>
      <c r="K67" s="658">
        <f t="shared" si="76"/>
        <v>0</v>
      </c>
      <c r="L67" s="68"/>
      <c r="M67" s="654">
        <f t="shared" si="53"/>
        <v>0</v>
      </c>
      <c r="N67" s="659"/>
      <c r="O67" s="658">
        <f t="shared" si="42"/>
        <v>0</v>
      </c>
      <c r="P67" s="657"/>
      <c r="Q67" s="654">
        <f t="shared" si="69"/>
        <v>0</v>
      </c>
      <c r="R67" s="68"/>
      <c r="S67" s="654">
        <f t="shared" si="44"/>
        <v>0</v>
      </c>
      <c r="T67" s="68"/>
      <c r="U67" s="654">
        <f t="shared" si="45"/>
        <v>0</v>
      </c>
      <c r="V67" s="659"/>
      <c r="W67" s="658">
        <f t="shared" si="46"/>
        <v>0</v>
      </c>
      <c r="X67" s="68"/>
      <c r="Y67" s="654">
        <f t="shared" si="70"/>
        <v>0</v>
      </c>
      <c r="Z67" s="659"/>
      <c r="AA67" s="658">
        <f t="shared" si="48"/>
        <v>0</v>
      </c>
      <c r="AB67" s="68"/>
      <c r="AC67" s="654">
        <f t="shared" si="49"/>
        <v>0</v>
      </c>
      <c r="AD67" s="660">
        <v>5.81</v>
      </c>
      <c r="AE67" s="1002"/>
      <c r="AF67" s="1151"/>
      <c r="AG67" s="662">
        <v>2.09</v>
      </c>
      <c r="AH67" s="1003">
        <f t="shared" si="78"/>
        <v>2.09</v>
      </c>
      <c r="AI67" s="1004">
        <f t="shared" si="79"/>
        <v>13.9</v>
      </c>
      <c r="AJ67" s="1005">
        <f t="shared" si="58"/>
        <v>1</v>
      </c>
      <c r="AK67" s="1006">
        <v>41</v>
      </c>
      <c r="AL67" s="1007"/>
      <c r="AM67" s="1007"/>
      <c r="AN67" s="1007"/>
      <c r="AO67" s="1007"/>
      <c r="AP67" s="1008">
        <f t="shared" si="59"/>
        <v>40</v>
      </c>
      <c r="AQ67" s="1009"/>
    </row>
    <row r="68" spans="1:43" ht="20.25">
      <c r="A68" s="1150"/>
      <c r="B68" s="1155"/>
      <c r="C68" s="1159" t="s">
        <v>677</v>
      </c>
      <c r="D68" s="999">
        <v>19.9</v>
      </c>
      <c r="E68" s="1000"/>
      <c r="F68" s="659"/>
      <c r="G68" s="658">
        <f t="shared" si="71"/>
        <v>0</v>
      </c>
      <c r="H68" s="68"/>
      <c r="I68" s="654">
        <f t="shared" si="51"/>
        <v>0</v>
      </c>
      <c r="J68" s="659"/>
      <c r="K68" s="658">
        <f t="shared" si="76"/>
        <v>0</v>
      </c>
      <c r="L68" s="68"/>
      <c r="M68" s="654">
        <f t="shared" si="53"/>
        <v>0</v>
      </c>
      <c r="N68" s="659"/>
      <c r="O68" s="658">
        <f t="shared" si="42"/>
        <v>0</v>
      </c>
      <c r="P68" s="657"/>
      <c r="Q68" s="654">
        <f t="shared" si="69"/>
        <v>0</v>
      </c>
      <c r="R68" s="68"/>
      <c r="S68" s="654">
        <f t="shared" si="44"/>
        <v>0</v>
      </c>
      <c r="T68" s="68"/>
      <c r="U68" s="654">
        <f t="shared" si="45"/>
        <v>0</v>
      </c>
      <c r="V68" s="659"/>
      <c r="W68" s="658">
        <f t="shared" si="46"/>
        <v>0</v>
      </c>
      <c r="X68" s="68"/>
      <c r="Y68" s="654">
        <f t="shared" si="70"/>
        <v>0</v>
      </c>
      <c r="Z68" s="659"/>
      <c r="AA68" s="658">
        <f t="shared" si="48"/>
        <v>0</v>
      </c>
      <c r="AB68" s="68"/>
      <c r="AC68" s="654">
        <f t="shared" si="49"/>
        <v>0</v>
      </c>
      <c r="AD68" s="660">
        <v>5.81</v>
      </c>
      <c r="AE68" s="1002"/>
      <c r="AF68" s="1151"/>
      <c r="AG68" s="662">
        <f>D68-AD68</f>
        <v>14.09</v>
      </c>
      <c r="AH68" s="1003">
        <f t="shared" si="78"/>
        <v>0</v>
      </c>
      <c r="AI68" s="1004">
        <f t="shared" si="79"/>
        <v>0</v>
      </c>
      <c r="AJ68" s="1005">
        <f t="shared" si="58"/>
        <v>0</v>
      </c>
      <c r="AK68" s="1006">
        <f>16+9</f>
        <v>25</v>
      </c>
      <c r="AL68" s="1007"/>
      <c r="AM68" s="1007"/>
      <c r="AN68" s="1007"/>
      <c r="AO68" s="1007"/>
      <c r="AP68" s="1008">
        <f t="shared" si="59"/>
        <v>25</v>
      </c>
      <c r="AQ68" s="1009"/>
    </row>
    <row r="69" spans="1:43" ht="20.25">
      <c r="A69" s="1150"/>
      <c r="B69" s="1155"/>
      <c r="C69" s="1159" t="s">
        <v>678</v>
      </c>
      <c r="D69" s="999">
        <v>6</v>
      </c>
      <c r="E69" s="1000"/>
      <c r="F69" s="659"/>
      <c r="G69" s="658">
        <f t="shared" si="71"/>
        <v>0</v>
      </c>
      <c r="H69" s="68"/>
      <c r="I69" s="654">
        <f t="shared" si="51"/>
        <v>0</v>
      </c>
      <c r="J69" s="659"/>
      <c r="K69" s="658">
        <f t="shared" si="76"/>
        <v>0</v>
      </c>
      <c r="L69" s="68"/>
      <c r="M69" s="654">
        <f t="shared" si="53"/>
        <v>0</v>
      </c>
      <c r="N69" s="659"/>
      <c r="O69" s="658">
        <f t="shared" si="42"/>
        <v>0</v>
      </c>
      <c r="P69" s="657"/>
      <c r="Q69" s="654">
        <f t="shared" si="69"/>
        <v>0</v>
      </c>
      <c r="R69" s="68"/>
      <c r="S69" s="654">
        <f t="shared" si="44"/>
        <v>0</v>
      </c>
      <c r="T69" s="68"/>
      <c r="U69" s="654">
        <f t="shared" si="45"/>
        <v>0</v>
      </c>
      <c r="V69" s="659"/>
      <c r="W69" s="658">
        <f t="shared" si="46"/>
        <v>0</v>
      </c>
      <c r="X69" s="68"/>
      <c r="Y69" s="654">
        <f t="shared" si="70"/>
        <v>0</v>
      </c>
      <c r="Z69" s="659"/>
      <c r="AA69" s="658">
        <f t="shared" si="48"/>
        <v>0</v>
      </c>
      <c r="AB69" s="68"/>
      <c r="AC69" s="654">
        <f t="shared" si="49"/>
        <v>0</v>
      </c>
      <c r="AD69" s="660"/>
      <c r="AE69" s="1002"/>
      <c r="AF69" s="1151"/>
      <c r="AG69" s="662"/>
      <c r="AH69" s="1003"/>
      <c r="AI69" s="1004">
        <f t="shared" si="79"/>
        <v>0</v>
      </c>
      <c r="AJ69" s="1005">
        <f t="shared" si="58"/>
        <v>0</v>
      </c>
      <c r="AK69" s="1006">
        <v>6</v>
      </c>
      <c r="AL69" s="1007"/>
      <c r="AM69" s="1007"/>
      <c r="AN69" s="1007"/>
      <c r="AO69" s="1007"/>
      <c r="AP69" s="1008">
        <f t="shared" si="59"/>
        <v>6</v>
      </c>
      <c r="AQ69" s="1009"/>
    </row>
    <row r="70" spans="1:43" ht="20.25">
      <c r="A70" s="1150"/>
      <c r="B70" s="1155"/>
      <c r="C70" s="1159" t="s">
        <v>222</v>
      </c>
      <c r="D70" s="999">
        <v>5.2</v>
      </c>
      <c r="E70" s="1000"/>
      <c r="F70" s="659"/>
      <c r="G70" s="658">
        <f t="shared" si="71"/>
        <v>0</v>
      </c>
      <c r="H70" s="68"/>
      <c r="I70" s="654">
        <f t="shared" si="51"/>
        <v>0</v>
      </c>
      <c r="J70" s="659">
        <v>2</v>
      </c>
      <c r="K70" s="658">
        <f t="shared" si="76"/>
        <v>10.4</v>
      </c>
      <c r="L70" s="68"/>
      <c r="M70" s="654">
        <f t="shared" si="53"/>
        <v>0</v>
      </c>
      <c r="N70" s="659">
        <v>3</v>
      </c>
      <c r="O70" s="658">
        <f t="shared" si="42"/>
        <v>15.600000000000001</v>
      </c>
      <c r="P70" s="657"/>
      <c r="Q70" s="654">
        <f t="shared" si="69"/>
        <v>0</v>
      </c>
      <c r="R70" s="68"/>
      <c r="S70" s="654">
        <f t="shared" si="44"/>
        <v>0</v>
      </c>
      <c r="T70" s="68"/>
      <c r="U70" s="654">
        <f t="shared" si="45"/>
        <v>0</v>
      </c>
      <c r="V70" s="659"/>
      <c r="W70" s="658">
        <f t="shared" si="46"/>
        <v>0</v>
      </c>
      <c r="X70" s="68"/>
      <c r="Y70" s="654">
        <f t="shared" si="70"/>
        <v>0</v>
      </c>
      <c r="Z70" s="659"/>
      <c r="AA70" s="658">
        <f t="shared" si="48"/>
        <v>0</v>
      </c>
      <c r="AB70" s="68"/>
      <c r="AC70" s="654">
        <f t="shared" si="49"/>
        <v>0</v>
      </c>
      <c r="AD70" s="660">
        <f>'[1]Commande Souvenirs, librairie'!F34</f>
        <v>2.9400000000000004</v>
      </c>
      <c r="AE70" s="1002"/>
      <c r="AF70" s="1151"/>
      <c r="AG70" s="662">
        <f aca="true" t="shared" si="80" ref="AG70:AG78">D70-AD70</f>
        <v>2.26</v>
      </c>
      <c r="AH70" s="1003">
        <f aca="true" t="shared" si="81" ref="AH70:AH74">AG70*AJ70</f>
        <v>11.299999999999999</v>
      </c>
      <c r="AI70" s="1004">
        <f t="shared" si="79"/>
        <v>26</v>
      </c>
      <c r="AJ70" s="1005">
        <f t="shared" si="58"/>
        <v>5</v>
      </c>
      <c r="AK70" s="1006">
        <f>5+38</f>
        <v>43</v>
      </c>
      <c r="AL70" s="1007"/>
      <c r="AM70" s="1007">
        <v>8</v>
      </c>
      <c r="AN70" s="1007"/>
      <c r="AO70" s="1007"/>
      <c r="AP70" s="1008">
        <f t="shared" si="59"/>
        <v>30</v>
      </c>
      <c r="AQ70" s="1009"/>
    </row>
    <row r="71" spans="1:43" ht="20.25">
      <c r="A71" s="1150"/>
      <c r="B71" s="1155"/>
      <c r="C71" s="1159" t="s">
        <v>219</v>
      </c>
      <c r="D71" s="999">
        <v>13.5</v>
      </c>
      <c r="E71" s="1000"/>
      <c r="F71" s="659"/>
      <c r="G71" s="658">
        <f t="shared" si="71"/>
        <v>0</v>
      </c>
      <c r="H71" s="68"/>
      <c r="I71" s="654">
        <f t="shared" si="51"/>
        <v>0</v>
      </c>
      <c r="J71" s="659"/>
      <c r="K71" s="658">
        <f t="shared" si="76"/>
        <v>0</v>
      </c>
      <c r="L71" s="68"/>
      <c r="M71" s="654">
        <f t="shared" si="53"/>
        <v>0</v>
      </c>
      <c r="N71" s="659"/>
      <c r="O71" s="658">
        <f t="shared" si="42"/>
        <v>0</v>
      </c>
      <c r="P71" s="657">
        <v>1</v>
      </c>
      <c r="Q71" s="654">
        <f t="shared" si="69"/>
        <v>13.5</v>
      </c>
      <c r="R71" s="68"/>
      <c r="S71" s="654">
        <f t="shared" si="44"/>
        <v>0</v>
      </c>
      <c r="T71" s="68"/>
      <c r="U71" s="654">
        <f t="shared" si="45"/>
        <v>0</v>
      </c>
      <c r="V71" s="659"/>
      <c r="W71" s="658">
        <f t="shared" si="46"/>
        <v>0</v>
      </c>
      <c r="X71" s="68"/>
      <c r="Y71" s="654">
        <f t="shared" si="70"/>
        <v>0</v>
      </c>
      <c r="Z71" s="659"/>
      <c r="AA71" s="658">
        <f t="shared" si="48"/>
        <v>0</v>
      </c>
      <c r="AB71" s="68"/>
      <c r="AC71" s="654">
        <f t="shared" si="49"/>
        <v>0</v>
      </c>
      <c r="AD71" s="660">
        <f>'[1]Commande Souvenirs, librairie'!F39</f>
        <v>7.319999999999999</v>
      </c>
      <c r="AE71" s="1002"/>
      <c r="AF71" s="1151"/>
      <c r="AG71" s="662">
        <f t="shared" si="80"/>
        <v>6.180000000000001</v>
      </c>
      <c r="AH71" s="1003">
        <f t="shared" si="81"/>
        <v>6.180000000000001</v>
      </c>
      <c r="AI71" s="1004">
        <f t="shared" si="79"/>
        <v>13.5</v>
      </c>
      <c r="AJ71" s="1005">
        <f t="shared" si="58"/>
        <v>1</v>
      </c>
      <c r="AK71" s="1006">
        <v>3</v>
      </c>
      <c r="AL71" s="1007">
        <v>15</v>
      </c>
      <c r="AM71" s="1007">
        <v>2</v>
      </c>
      <c r="AN71" s="1007"/>
      <c r="AO71" s="1007"/>
      <c r="AP71" s="1008">
        <f t="shared" si="59"/>
        <v>15</v>
      </c>
      <c r="AQ71" s="1009"/>
    </row>
    <row r="72" spans="1:43" ht="20.25">
      <c r="A72" s="1150"/>
      <c r="B72" s="1155"/>
      <c r="C72" s="1159" t="s">
        <v>314</v>
      </c>
      <c r="D72" s="999">
        <v>3.5</v>
      </c>
      <c r="E72" s="1000"/>
      <c r="F72" s="659"/>
      <c r="G72" s="658">
        <f t="shared" si="71"/>
        <v>0</v>
      </c>
      <c r="H72" s="68"/>
      <c r="I72" s="654">
        <f t="shared" si="51"/>
        <v>0</v>
      </c>
      <c r="J72" s="659"/>
      <c r="K72" s="658">
        <f t="shared" si="76"/>
        <v>0</v>
      </c>
      <c r="L72" s="68"/>
      <c r="M72" s="654">
        <f t="shared" si="53"/>
        <v>0</v>
      </c>
      <c r="N72" s="659"/>
      <c r="O72" s="658">
        <f t="shared" si="42"/>
        <v>0</v>
      </c>
      <c r="P72" s="657"/>
      <c r="Q72" s="654">
        <f t="shared" si="69"/>
        <v>0</v>
      </c>
      <c r="R72" s="68"/>
      <c r="S72" s="654">
        <f t="shared" si="44"/>
        <v>0</v>
      </c>
      <c r="T72" s="68"/>
      <c r="U72" s="654">
        <f t="shared" si="45"/>
        <v>0</v>
      </c>
      <c r="V72" s="659"/>
      <c r="W72" s="658">
        <f t="shared" si="46"/>
        <v>0</v>
      </c>
      <c r="X72" s="68"/>
      <c r="Y72" s="654">
        <f t="shared" si="70"/>
        <v>0</v>
      </c>
      <c r="Z72" s="659"/>
      <c r="AA72" s="658">
        <f t="shared" si="48"/>
        <v>0</v>
      </c>
      <c r="AB72" s="68"/>
      <c r="AC72" s="654">
        <f t="shared" si="49"/>
        <v>0</v>
      </c>
      <c r="AD72" s="660">
        <f>'[1]Commande Souvenirs, librairie'!F44</f>
        <v>1.32</v>
      </c>
      <c r="AE72" s="1002"/>
      <c r="AF72" s="1151"/>
      <c r="AG72" s="662">
        <f t="shared" si="80"/>
        <v>2.1799999999999997</v>
      </c>
      <c r="AH72" s="1003">
        <f t="shared" si="81"/>
        <v>0</v>
      </c>
      <c r="AI72" s="1004">
        <f t="shared" si="79"/>
        <v>0</v>
      </c>
      <c r="AJ72" s="1005">
        <f t="shared" si="58"/>
        <v>0</v>
      </c>
      <c r="AK72" s="1006">
        <v>1</v>
      </c>
      <c r="AL72" s="1007"/>
      <c r="AM72" s="1007"/>
      <c r="AN72" s="1007"/>
      <c r="AO72" s="1007"/>
      <c r="AP72" s="1008">
        <f t="shared" si="59"/>
        <v>1</v>
      </c>
      <c r="AQ72" s="1009"/>
    </row>
    <row r="73" spans="1:43" ht="20.25">
      <c r="A73" s="1150"/>
      <c r="B73" s="1155"/>
      <c r="C73" s="1159" t="s">
        <v>679</v>
      </c>
      <c r="D73" s="999">
        <v>2.5</v>
      </c>
      <c r="E73" s="1000"/>
      <c r="F73" s="659">
        <v>2</v>
      </c>
      <c r="G73" s="658">
        <f t="shared" si="71"/>
        <v>5</v>
      </c>
      <c r="H73" s="68"/>
      <c r="I73" s="654">
        <f t="shared" si="51"/>
        <v>0</v>
      </c>
      <c r="J73" s="659">
        <v>2</v>
      </c>
      <c r="K73" s="658">
        <f t="shared" si="76"/>
        <v>5</v>
      </c>
      <c r="L73" s="68"/>
      <c r="M73" s="654">
        <f t="shared" si="53"/>
        <v>0</v>
      </c>
      <c r="N73" s="659">
        <v>2</v>
      </c>
      <c r="O73" s="658">
        <f t="shared" si="42"/>
        <v>5</v>
      </c>
      <c r="P73" s="657">
        <v>5</v>
      </c>
      <c r="Q73" s="654">
        <f t="shared" si="69"/>
        <v>12.5</v>
      </c>
      <c r="R73" s="68"/>
      <c r="S73" s="654">
        <f t="shared" si="44"/>
        <v>0</v>
      </c>
      <c r="T73" s="68"/>
      <c r="U73" s="654">
        <f t="shared" si="45"/>
        <v>0</v>
      </c>
      <c r="V73" s="659"/>
      <c r="W73" s="658">
        <f t="shared" si="46"/>
        <v>0</v>
      </c>
      <c r="X73" s="68"/>
      <c r="Y73" s="654">
        <f t="shared" si="70"/>
        <v>0</v>
      </c>
      <c r="Z73" s="659"/>
      <c r="AA73" s="658">
        <f t="shared" si="48"/>
        <v>0</v>
      </c>
      <c r="AB73" s="68"/>
      <c r="AC73" s="654">
        <f t="shared" si="49"/>
        <v>0</v>
      </c>
      <c r="AD73" s="660">
        <f>'[1]Commande Souvenirs, librairie'!F154</f>
        <v>1.6102</v>
      </c>
      <c r="AE73" s="1002"/>
      <c r="AF73" s="1151"/>
      <c r="AG73" s="662">
        <f t="shared" si="80"/>
        <v>0.8897999999999999</v>
      </c>
      <c r="AH73" s="1003">
        <f t="shared" si="81"/>
        <v>9.787799999999999</v>
      </c>
      <c r="AI73" s="1004">
        <f t="shared" si="79"/>
        <v>27.5</v>
      </c>
      <c r="AJ73" s="1005">
        <f t="shared" si="58"/>
        <v>11</v>
      </c>
      <c r="AK73" s="1006">
        <v>467</v>
      </c>
      <c r="AL73" s="1007"/>
      <c r="AM73" s="1007"/>
      <c r="AN73" s="1007"/>
      <c r="AO73" s="1007"/>
      <c r="AP73" s="1008">
        <f t="shared" si="59"/>
        <v>456</v>
      </c>
      <c r="AQ73" s="1009"/>
    </row>
    <row r="74" spans="1:43" ht="20.25">
      <c r="A74" s="1150"/>
      <c r="B74" s="1155"/>
      <c r="C74" s="1160" t="s">
        <v>680</v>
      </c>
      <c r="D74" s="999">
        <v>6.5</v>
      </c>
      <c r="E74" s="1000"/>
      <c r="F74" s="659"/>
      <c r="G74" s="658">
        <f t="shared" si="71"/>
        <v>0</v>
      </c>
      <c r="H74" s="68"/>
      <c r="I74" s="654">
        <f t="shared" si="51"/>
        <v>0</v>
      </c>
      <c r="J74" s="659"/>
      <c r="K74" s="658">
        <f t="shared" si="76"/>
        <v>0</v>
      </c>
      <c r="L74" s="68"/>
      <c r="M74" s="654">
        <f t="shared" si="53"/>
        <v>0</v>
      </c>
      <c r="N74" s="659"/>
      <c r="O74" s="658">
        <f t="shared" si="42"/>
        <v>0</v>
      </c>
      <c r="P74" s="657"/>
      <c r="Q74" s="654">
        <f t="shared" si="69"/>
        <v>0</v>
      </c>
      <c r="R74" s="68"/>
      <c r="S74" s="654">
        <f t="shared" si="44"/>
        <v>0</v>
      </c>
      <c r="T74" s="68"/>
      <c r="U74" s="654">
        <f t="shared" si="45"/>
        <v>0</v>
      </c>
      <c r="V74" s="659"/>
      <c r="W74" s="658">
        <f t="shared" si="46"/>
        <v>0</v>
      </c>
      <c r="X74" s="68"/>
      <c r="Y74" s="654">
        <f t="shared" si="70"/>
        <v>0</v>
      </c>
      <c r="Z74" s="659"/>
      <c r="AA74" s="658">
        <f t="shared" si="48"/>
        <v>0</v>
      </c>
      <c r="AB74" s="68"/>
      <c r="AC74" s="654">
        <f t="shared" si="49"/>
        <v>0</v>
      </c>
      <c r="AD74" s="660">
        <f>'[1]Commande Souvenirs, librairie'!F161</f>
        <v>4.19</v>
      </c>
      <c r="AE74" s="1002"/>
      <c r="AF74" s="1151"/>
      <c r="AG74" s="662">
        <f t="shared" si="80"/>
        <v>2.3099999999999996</v>
      </c>
      <c r="AH74" s="1003">
        <f t="shared" si="81"/>
        <v>0</v>
      </c>
      <c r="AI74" s="1004">
        <f t="shared" si="79"/>
        <v>0</v>
      </c>
      <c r="AJ74" s="1005">
        <f t="shared" si="58"/>
        <v>0</v>
      </c>
      <c r="AK74" s="1006">
        <f>44+1</f>
        <v>45</v>
      </c>
      <c r="AL74" s="1007"/>
      <c r="AM74" s="1007">
        <v>10</v>
      </c>
      <c r="AN74" s="1007"/>
      <c r="AO74" s="1007"/>
      <c r="AP74" s="1008">
        <f t="shared" si="59"/>
        <v>35</v>
      </c>
      <c r="AQ74" s="1009"/>
    </row>
    <row r="75" spans="1:43" ht="20.25">
      <c r="A75" s="1150"/>
      <c r="B75" s="1155"/>
      <c r="C75" s="1161" t="s">
        <v>681</v>
      </c>
      <c r="D75" s="999">
        <v>7</v>
      </c>
      <c r="E75" s="1000"/>
      <c r="F75" s="659"/>
      <c r="G75" s="658">
        <f t="shared" si="71"/>
        <v>0</v>
      </c>
      <c r="H75" s="68"/>
      <c r="I75" s="654">
        <f t="shared" si="51"/>
        <v>0</v>
      </c>
      <c r="J75" s="659"/>
      <c r="K75" s="658">
        <f t="shared" si="76"/>
        <v>0</v>
      </c>
      <c r="L75" s="68"/>
      <c r="M75" s="654">
        <f t="shared" si="53"/>
        <v>0</v>
      </c>
      <c r="N75" s="659"/>
      <c r="O75" s="658">
        <f t="shared" si="42"/>
        <v>0</v>
      </c>
      <c r="P75" s="657"/>
      <c r="Q75" s="654">
        <f t="shared" si="69"/>
        <v>0</v>
      </c>
      <c r="R75" s="68"/>
      <c r="S75" s="654">
        <f t="shared" si="44"/>
        <v>0</v>
      </c>
      <c r="T75" s="68"/>
      <c r="U75" s="654">
        <f t="shared" si="45"/>
        <v>0</v>
      </c>
      <c r="V75" s="659"/>
      <c r="W75" s="658">
        <f t="shared" si="46"/>
        <v>0</v>
      </c>
      <c r="X75" s="68"/>
      <c r="Y75" s="654">
        <f t="shared" si="70"/>
        <v>0</v>
      </c>
      <c r="Z75" s="659"/>
      <c r="AA75" s="658">
        <f t="shared" si="48"/>
        <v>0</v>
      </c>
      <c r="AB75" s="68"/>
      <c r="AC75" s="654">
        <f t="shared" si="49"/>
        <v>0</v>
      </c>
      <c r="AD75" s="660"/>
      <c r="AE75" s="1002"/>
      <c r="AF75" s="1151"/>
      <c r="AG75" s="662">
        <f t="shared" si="80"/>
        <v>7</v>
      </c>
      <c r="AH75" s="1003">
        <v>0</v>
      </c>
      <c r="AI75" s="1004">
        <v>0</v>
      </c>
      <c r="AJ75" s="1005">
        <f t="shared" si="58"/>
        <v>0</v>
      </c>
      <c r="AK75" s="1006">
        <v>5</v>
      </c>
      <c r="AL75" s="1007"/>
      <c r="AM75" s="1007"/>
      <c r="AN75" s="1007"/>
      <c r="AO75" s="1007"/>
      <c r="AP75" s="1008">
        <f t="shared" si="59"/>
        <v>5</v>
      </c>
      <c r="AQ75" s="1009"/>
    </row>
    <row r="76" spans="1:43" ht="20.25">
      <c r="A76" s="1150"/>
      <c r="B76" s="1155"/>
      <c r="C76" s="1161" t="s">
        <v>397</v>
      </c>
      <c r="D76" s="999">
        <v>7.9</v>
      </c>
      <c r="E76" s="1000">
        <v>8.2</v>
      </c>
      <c r="F76" s="659"/>
      <c r="G76" s="658">
        <f t="shared" si="71"/>
        <v>0</v>
      </c>
      <c r="H76" s="68">
        <v>2</v>
      </c>
      <c r="I76" s="654">
        <f t="shared" si="51"/>
        <v>15.8</v>
      </c>
      <c r="J76" s="659"/>
      <c r="K76" s="658">
        <f t="shared" si="76"/>
        <v>0</v>
      </c>
      <c r="L76" s="68"/>
      <c r="M76" s="654">
        <f>L76*E76</f>
        <v>0</v>
      </c>
      <c r="N76" s="659"/>
      <c r="O76" s="658">
        <f>N76*E76</f>
        <v>0</v>
      </c>
      <c r="P76" s="657"/>
      <c r="Q76" s="654">
        <f>P76*E76</f>
        <v>0</v>
      </c>
      <c r="R76" s="68"/>
      <c r="S76" s="654">
        <f>R76*E76</f>
        <v>0</v>
      </c>
      <c r="T76" s="68"/>
      <c r="U76" s="654">
        <f>T76*E76</f>
        <v>0</v>
      </c>
      <c r="V76" s="659"/>
      <c r="W76" s="658">
        <f>V76*E76</f>
        <v>0</v>
      </c>
      <c r="X76" s="68"/>
      <c r="Y76" s="654">
        <f>X76*E76</f>
        <v>0</v>
      </c>
      <c r="Z76" s="659"/>
      <c r="AA76" s="658">
        <f>Z76*E76</f>
        <v>0</v>
      </c>
      <c r="AB76" s="68"/>
      <c r="AC76" s="654">
        <f>AB76*E76</f>
        <v>0</v>
      </c>
      <c r="AD76" s="660">
        <f>'[1]Commande Souvenirs, librairie'!F171</f>
        <v>5.99</v>
      </c>
      <c r="AE76" s="1002"/>
      <c r="AF76" s="1151"/>
      <c r="AG76" s="662">
        <f t="shared" si="80"/>
        <v>1.9100000000000001</v>
      </c>
      <c r="AH76" s="1003">
        <f aca="true" t="shared" si="82" ref="AH76:AH78">AG76*AJ76</f>
        <v>3.8200000000000003</v>
      </c>
      <c r="AI76" s="1004">
        <f aca="true" t="shared" si="83" ref="AI76:AI109">SUM(AC76+AA76+Y76+W76+U76+S76+Q76+O76+M76+K76+I76+G76)</f>
        <v>15.8</v>
      </c>
      <c r="AJ76" s="1005">
        <f t="shared" si="58"/>
        <v>2</v>
      </c>
      <c r="AK76" s="1006">
        <f>17+6</f>
        <v>23</v>
      </c>
      <c r="AL76" s="1007"/>
      <c r="AM76" s="1007">
        <v>6</v>
      </c>
      <c r="AN76" s="1007"/>
      <c r="AO76" s="1007"/>
      <c r="AP76" s="1008">
        <f t="shared" si="59"/>
        <v>15</v>
      </c>
      <c r="AQ76" s="1009"/>
    </row>
    <row r="77" spans="1:43" ht="20.25">
      <c r="A77" s="1150"/>
      <c r="B77" s="1155"/>
      <c r="C77" s="1161" t="s">
        <v>399</v>
      </c>
      <c r="D77" s="999">
        <v>38</v>
      </c>
      <c r="E77" s="1000"/>
      <c r="F77" s="659"/>
      <c r="G77" s="658">
        <f t="shared" si="71"/>
        <v>0</v>
      </c>
      <c r="H77" s="68"/>
      <c r="I77" s="654">
        <f t="shared" si="51"/>
        <v>0</v>
      </c>
      <c r="J77" s="659"/>
      <c r="K77" s="658">
        <f t="shared" si="76"/>
        <v>0</v>
      </c>
      <c r="L77" s="68"/>
      <c r="M77" s="654">
        <f aca="true" t="shared" si="84" ref="M77:M109">L77*D77</f>
        <v>0</v>
      </c>
      <c r="N77" s="659"/>
      <c r="O77" s="658">
        <f aca="true" t="shared" si="85" ref="O77:O109">N77*D77</f>
        <v>0</v>
      </c>
      <c r="P77" s="657"/>
      <c r="Q77" s="654">
        <f aca="true" t="shared" si="86" ref="Q77:Q109">P77*D77</f>
        <v>0</v>
      </c>
      <c r="R77" s="68"/>
      <c r="S77" s="654">
        <f aca="true" t="shared" si="87" ref="S77:S109">R77*D77</f>
        <v>0</v>
      </c>
      <c r="T77" s="68"/>
      <c r="U77" s="654">
        <f aca="true" t="shared" si="88" ref="U77:U109">T77*D77</f>
        <v>0</v>
      </c>
      <c r="V77" s="659"/>
      <c r="W77" s="658">
        <f aca="true" t="shared" si="89" ref="W77:W109">V77*D77</f>
        <v>0</v>
      </c>
      <c r="X77" s="68"/>
      <c r="Y77" s="654">
        <f aca="true" t="shared" si="90" ref="Y77:Y109">X77*D77</f>
        <v>0</v>
      </c>
      <c r="Z77" s="659"/>
      <c r="AA77" s="658">
        <f aca="true" t="shared" si="91" ref="AA77:AA109">Z77*D77</f>
        <v>0</v>
      </c>
      <c r="AB77" s="68"/>
      <c r="AC77" s="654">
        <f aca="true" t="shared" si="92" ref="AC77:AC109">AB77*D77</f>
        <v>0</v>
      </c>
      <c r="AD77" s="660">
        <f>'[1]Commande Souvenirs, librairie'!F173</f>
        <v>26.7</v>
      </c>
      <c r="AE77" s="1002"/>
      <c r="AF77" s="1151"/>
      <c r="AG77" s="662">
        <f t="shared" si="80"/>
        <v>11.3</v>
      </c>
      <c r="AH77" s="1003">
        <f t="shared" si="82"/>
        <v>0</v>
      </c>
      <c r="AI77" s="1004">
        <f t="shared" si="83"/>
        <v>0</v>
      </c>
      <c r="AJ77" s="1005">
        <f t="shared" si="58"/>
        <v>0</v>
      </c>
      <c r="AK77" s="1006">
        <v>1</v>
      </c>
      <c r="AL77" s="1007"/>
      <c r="AM77" s="1007"/>
      <c r="AN77" s="1007"/>
      <c r="AO77" s="1007"/>
      <c r="AP77" s="1008">
        <f t="shared" si="59"/>
        <v>1</v>
      </c>
      <c r="AQ77" s="1009"/>
    </row>
    <row r="78" spans="1:43" ht="20.25">
      <c r="A78" s="1150"/>
      <c r="B78" s="1155"/>
      <c r="C78" s="1161" t="s">
        <v>682</v>
      </c>
      <c r="D78" s="999">
        <v>10</v>
      </c>
      <c r="E78" s="1000"/>
      <c r="F78" s="659"/>
      <c r="G78" s="658">
        <f t="shared" si="71"/>
        <v>0</v>
      </c>
      <c r="H78" s="68"/>
      <c r="I78" s="654">
        <f t="shared" si="51"/>
        <v>0</v>
      </c>
      <c r="J78" s="659"/>
      <c r="K78" s="658">
        <f t="shared" si="76"/>
        <v>0</v>
      </c>
      <c r="L78" s="68"/>
      <c r="M78" s="654">
        <f t="shared" si="84"/>
        <v>0</v>
      </c>
      <c r="N78" s="659"/>
      <c r="O78" s="658">
        <f t="shared" si="85"/>
        <v>0</v>
      </c>
      <c r="P78" s="657"/>
      <c r="Q78" s="654">
        <f t="shared" si="86"/>
        <v>0</v>
      </c>
      <c r="R78" s="68"/>
      <c r="S78" s="654">
        <f t="shared" si="87"/>
        <v>0</v>
      </c>
      <c r="T78" s="68"/>
      <c r="U78" s="654">
        <f t="shared" si="88"/>
        <v>0</v>
      </c>
      <c r="V78" s="659"/>
      <c r="W78" s="658">
        <f t="shared" si="89"/>
        <v>0</v>
      </c>
      <c r="X78" s="68"/>
      <c r="Y78" s="654">
        <f t="shared" si="90"/>
        <v>0</v>
      </c>
      <c r="Z78" s="659"/>
      <c r="AA78" s="658">
        <f t="shared" si="91"/>
        <v>0</v>
      </c>
      <c r="AB78" s="68"/>
      <c r="AC78" s="654">
        <f t="shared" si="92"/>
        <v>0</v>
      </c>
      <c r="AD78" s="660">
        <v>5.85</v>
      </c>
      <c r="AE78" s="1002"/>
      <c r="AF78" s="1151"/>
      <c r="AG78" s="662">
        <f t="shared" si="80"/>
        <v>4.15</v>
      </c>
      <c r="AH78" s="1003">
        <f t="shared" si="82"/>
        <v>0</v>
      </c>
      <c r="AI78" s="1004">
        <f t="shared" si="83"/>
        <v>0</v>
      </c>
      <c r="AJ78" s="1005">
        <f t="shared" si="58"/>
        <v>0</v>
      </c>
      <c r="AK78" s="1006">
        <v>5</v>
      </c>
      <c r="AL78" s="1007"/>
      <c r="AM78" s="1007"/>
      <c r="AN78" s="1007"/>
      <c r="AO78" s="1007"/>
      <c r="AP78" s="1008">
        <f t="shared" si="59"/>
        <v>5</v>
      </c>
      <c r="AQ78" s="1009"/>
    </row>
    <row r="79" spans="1:43" ht="20.25">
      <c r="A79" s="1150"/>
      <c r="B79" s="1155"/>
      <c r="C79" s="1161" t="s">
        <v>683</v>
      </c>
      <c r="D79" s="999">
        <v>12</v>
      </c>
      <c r="E79" s="1000"/>
      <c r="F79" s="659"/>
      <c r="G79" s="658">
        <f t="shared" si="71"/>
        <v>0</v>
      </c>
      <c r="H79" s="68"/>
      <c r="I79" s="654">
        <f t="shared" si="51"/>
        <v>0</v>
      </c>
      <c r="J79" s="659"/>
      <c r="K79" s="658">
        <f t="shared" si="76"/>
        <v>0</v>
      </c>
      <c r="L79" s="68"/>
      <c r="M79" s="654">
        <f t="shared" si="84"/>
        <v>0</v>
      </c>
      <c r="N79" s="659"/>
      <c r="O79" s="658">
        <f t="shared" si="85"/>
        <v>0</v>
      </c>
      <c r="P79" s="657">
        <v>2</v>
      </c>
      <c r="Q79" s="654">
        <f t="shared" si="86"/>
        <v>24</v>
      </c>
      <c r="R79" s="68"/>
      <c r="S79" s="654">
        <f t="shared" si="87"/>
        <v>0</v>
      </c>
      <c r="T79" s="68"/>
      <c r="U79" s="654">
        <f t="shared" si="88"/>
        <v>0</v>
      </c>
      <c r="V79" s="659"/>
      <c r="W79" s="658">
        <f t="shared" si="89"/>
        <v>0</v>
      </c>
      <c r="X79" s="68"/>
      <c r="Y79" s="654">
        <f t="shared" si="90"/>
        <v>0</v>
      </c>
      <c r="Z79" s="659"/>
      <c r="AA79" s="658">
        <f t="shared" si="91"/>
        <v>0</v>
      </c>
      <c r="AB79" s="68"/>
      <c r="AC79" s="654">
        <f t="shared" si="92"/>
        <v>0</v>
      </c>
      <c r="AD79" s="660"/>
      <c r="AE79" s="1002"/>
      <c r="AF79" s="1151"/>
      <c r="AG79" s="662"/>
      <c r="AH79" s="1003"/>
      <c r="AI79" s="1004">
        <f t="shared" si="83"/>
        <v>24</v>
      </c>
      <c r="AJ79" s="1005">
        <f t="shared" si="58"/>
        <v>2</v>
      </c>
      <c r="AK79" s="1006">
        <v>3</v>
      </c>
      <c r="AL79" s="1007"/>
      <c r="AM79" s="1007"/>
      <c r="AN79" s="1007"/>
      <c r="AO79" s="1007"/>
      <c r="AP79" s="1008">
        <f t="shared" si="59"/>
        <v>1</v>
      </c>
      <c r="AQ79" s="1009"/>
    </row>
    <row r="80" spans="1:43" ht="20.25">
      <c r="A80" s="1150"/>
      <c r="B80" s="1155"/>
      <c r="C80" s="1161" t="s">
        <v>684</v>
      </c>
      <c r="D80" s="999">
        <v>5</v>
      </c>
      <c r="E80" s="1000"/>
      <c r="F80" s="659"/>
      <c r="G80" s="658">
        <f t="shared" si="71"/>
        <v>0</v>
      </c>
      <c r="H80" s="68"/>
      <c r="I80" s="654">
        <f t="shared" si="51"/>
        <v>0</v>
      </c>
      <c r="J80" s="659"/>
      <c r="K80" s="658">
        <f t="shared" si="76"/>
        <v>0</v>
      </c>
      <c r="L80" s="68"/>
      <c r="M80" s="654">
        <f t="shared" si="84"/>
        <v>0</v>
      </c>
      <c r="N80" s="659"/>
      <c r="O80" s="658">
        <f t="shared" si="85"/>
        <v>0</v>
      </c>
      <c r="P80" s="657"/>
      <c r="Q80" s="654">
        <f t="shared" si="86"/>
        <v>0</v>
      </c>
      <c r="R80" s="68"/>
      <c r="S80" s="654">
        <f t="shared" si="87"/>
        <v>0</v>
      </c>
      <c r="T80" s="68"/>
      <c r="U80" s="654">
        <f t="shared" si="88"/>
        <v>0</v>
      </c>
      <c r="V80" s="659"/>
      <c r="W80" s="658">
        <f t="shared" si="89"/>
        <v>0</v>
      </c>
      <c r="X80" s="68"/>
      <c r="Y80" s="654">
        <f t="shared" si="90"/>
        <v>0</v>
      </c>
      <c r="Z80" s="659"/>
      <c r="AA80" s="658">
        <f t="shared" si="91"/>
        <v>0</v>
      </c>
      <c r="AB80" s="68"/>
      <c r="AC80" s="654">
        <f t="shared" si="92"/>
        <v>0</v>
      </c>
      <c r="AD80" s="660"/>
      <c r="AE80" s="1002"/>
      <c r="AF80" s="1151"/>
      <c r="AG80" s="662"/>
      <c r="AH80" s="1003"/>
      <c r="AI80" s="1004">
        <f t="shared" si="83"/>
        <v>0</v>
      </c>
      <c r="AJ80" s="1005">
        <f t="shared" si="58"/>
        <v>0</v>
      </c>
      <c r="AK80" s="1006">
        <v>20</v>
      </c>
      <c r="AL80" s="1007"/>
      <c r="AM80" s="1007"/>
      <c r="AN80" s="1007"/>
      <c r="AO80" s="1007"/>
      <c r="AP80" s="1008">
        <f t="shared" si="59"/>
        <v>20</v>
      </c>
      <c r="AQ80" s="1009"/>
    </row>
    <row r="81" spans="1:43" ht="20.25">
      <c r="A81" s="1150"/>
      <c r="B81" s="1155"/>
      <c r="C81" s="1161" t="s">
        <v>685</v>
      </c>
      <c r="D81" s="999">
        <v>5</v>
      </c>
      <c r="E81" s="1000"/>
      <c r="F81" s="659"/>
      <c r="G81" s="658">
        <f t="shared" si="71"/>
        <v>0</v>
      </c>
      <c r="H81" s="68"/>
      <c r="I81" s="654">
        <f t="shared" si="51"/>
        <v>0</v>
      </c>
      <c r="J81" s="659"/>
      <c r="K81" s="658">
        <f t="shared" si="76"/>
        <v>0</v>
      </c>
      <c r="L81" s="68"/>
      <c r="M81" s="654">
        <f t="shared" si="84"/>
        <v>0</v>
      </c>
      <c r="N81" s="659"/>
      <c r="O81" s="658">
        <f t="shared" si="85"/>
        <v>0</v>
      </c>
      <c r="P81" s="657"/>
      <c r="Q81" s="654">
        <f t="shared" si="86"/>
        <v>0</v>
      </c>
      <c r="R81" s="68"/>
      <c r="S81" s="654">
        <f t="shared" si="87"/>
        <v>0</v>
      </c>
      <c r="T81" s="68"/>
      <c r="U81" s="654">
        <f t="shared" si="88"/>
        <v>0</v>
      </c>
      <c r="V81" s="659"/>
      <c r="W81" s="658">
        <f t="shared" si="89"/>
        <v>0</v>
      </c>
      <c r="X81" s="68"/>
      <c r="Y81" s="654">
        <f t="shared" si="90"/>
        <v>0</v>
      </c>
      <c r="Z81" s="659"/>
      <c r="AA81" s="658">
        <f t="shared" si="91"/>
        <v>0</v>
      </c>
      <c r="AB81" s="68"/>
      <c r="AC81" s="654">
        <f t="shared" si="92"/>
        <v>0</v>
      </c>
      <c r="AD81" s="660"/>
      <c r="AE81" s="1002"/>
      <c r="AF81" s="1151"/>
      <c r="AG81" s="662"/>
      <c r="AH81" s="1003"/>
      <c r="AI81" s="1004">
        <f t="shared" si="83"/>
        <v>0</v>
      </c>
      <c r="AJ81" s="1005">
        <f t="shared" si="58"/>
        <v>0</v>
      </c>
      <c r="AK81" s="1006">
        <v>9</v>
      </c>
      <c r="AL81" s="1007"/>
      <c r="AM81" s="1007"/>
      <c r="AN81" s="1007"/>
      <c r="AO81" s="1007"/>
      <c r="AP81" s="1008">
        <f t="shared" si="59"/>
        <v>9</v>
      </c>
      <c r="AQ81" s="1009"/>
    </row>
    <row r="82" spans="1:43" ht="20.25">
      <c r="A82" s="1150"/>
      <c r="B82" s="1155"/>
      <c r="C82" s="1161" t="s">
        <v>686</v>
      </c>
      <c r="D82" s="999">
        <v>15</v>
      </c>
      <c r="E82" s="1000"/>
      <c r="F82" s="659"/>
      <c r="G82" s="658">
        <f t="shared" si="71"/>
        <v>0</v>
      </c>
      <c r="H82" s="68"/>
      <c r="I82" s="654">
        <f t="shared" si="51"/>
        <v>0</v>
      </c>
      <c r="J82" s="659"/>
      <c r="K82" s="658">
        <f t="shared" si="76"/>
        <v>0</v>
      </c>
      <c r="L82" s="68"/>
      <c r="M82" s="654">
        <f t="shared" si="84"/>
        <v>0</v>
      </c>
      <c r="N82" s="659"/>
      <c r="O82" s="658">
        <f t="shared" si="85"/>
        <v>0</v>
      </c>
      <c r="P82" s="657"/>
      <c r="Q82" s="654">
        <f t="shared" si="86"/>
        <v>0</v>
      </c>
      <c r="R82" s="68"/>
      <c r="S82" s="654">
        <f t="shared" si="87"/>
        <v>0</v>
      </c>
      <c r="T82" s="68"/>
      <c r="U82" s="654">
        <f t="shared" si="88"/>
        <v>0</v>
      </c>
      <c r="V82" s="659"/>
      <c r="W82" s="658">
        <f t="shared" si="89"/>
        <v>0</v>
      </c>
      <c r="X82" s="68"/>
      <c r="Y82" s="654">
        <f t="shared" si="90"/>
        <v>0</v>
      </c>
      <c r="Z82" s="659"/>
      <c r="AA82" s="658">
        <f t="shared" si="91"/>
        <v>0</v>
      </c>
      <c r="AB82" s="68"/>
      <c r="AC82" s="654">
        <f t="shared" si="92"/>
        <v>0</v>
      </c>
      <c r="AD82" s="660">
        <f>'[1]Commande Souvenirs, librairie'!F159</f>
        <v>9</v>
      </c>
      <c r="AE82" s="1002"/>
      <c r="AF82" s="1151"/>
      <c r="AG82" s="662">
        <f aca="true" t="shared" si="93" ref="AG82:AG85">D82-AD82</f>
        <v>6</v>
      </c>
      <c r="AH82" s="1003">
        <f aca="true" t="shared" si="94" ref="AH82:AH85">AG82*AJ82</f>
        <v>0</v>
      </c>
      <c r="AI82" s="1004">
        <f t="shared" si="83"/>
        <v>0</v>
      </c>
      <c r="AJ82" s="1005">
        <f t="shared" si="58"/>
        <v>0</v>
      </c>
      <c r="AK82" s="1006">
        <v>7</v>
      </c>
      <c r="AL82" s="1007"/>
      <c r="AM82" s="1007"/>
      <c r="AN82" s="1007"/>
      <c r="AO82" s="1007"/>
      <c r="AP82" s="1008">
        <f t="shared" si="59"/>
        <v>7</v>
      </c>
      <c r="AQ82" s="1009"/>
    </row>
    <row r="83" spans="1:43" ht="20.25">
      <c r="A83" s="1150"/>
      <c r="B83" s="1155"/>
      <c r="C83" s="1161" t="s">
        <v>307</v>
      </c>
      <c r="D83" s="999">
        <v>15</v>
      </c>
      <c r="E83" s="1000"/>
      <c r="F83" s="659"/>
      <c r="G83" s="658">
        <f t="shared" si="71"/>
        <v>0</v>
      </c>
      <c r="H83" s="68"/>
      <c r="I83" s="654">
        <f t="shared" si="51"/>
        <v>0</v>
      </c>
      <c r="J83" s="659"/>
      <c r="K83" s="658">
        <f t="shared" si="76"/>
        <v>0</v>
      </c>
      <c r="L83" s="68"/>
      <c r="M83" s="654">
        <f t="shared" si="84"/>
        <v>0</v>
      </c>
      <c r="N83" s="659"/>
      <c r="O83" s="658">
        <f t="shared" si="85"/>
        <v>0</v>
      </c>
      <c r="P83" s="657"/>
      <c r="Q83" s="654">
        <f t="shared" si="86"/>
        <v>0</v>
      </c>
      <c r="R83" s="68"/>
      <c r="S83" s="654">
        <f t="shared" si="87"/>
        <v>0</v>
      </c>
      <c r="T83" s="68"/>
      <c r="U83" s="654">
        <f t="shared" si="88"/>
        <v>0</v>
      </c>
      <c r="V83" s="659"/>
      <c r="W83" s="658">
        <f t="shared" si="89"/>
        <v>0</v>
      </c>
      <c r="X83" s="68"/>
      <c r="Y83" s="654">
        <f t="shared" si="90"/>
        <v>0</v>
      </c>
      <c r="Z83" s="659"/>
      <c r="AA83" s="658">
        <f t="shared" si="91"/>
        <v>0</v>
      </c>
      <c r="AB83" s="68"/>
      <c r="AC83" s="654">
        <f t="shared" si="92"/>
        <v>0</v>
      </c>
      <c r="AD83" s="660">
        <f>'[1]Commande Souvenirs, librairie'!F160</f>
        <v>9</v>
      </c>
      <c r="AE83" s="1002"/>
      <c r="AF83" s="1151"/>
      <c r="AG83" s="662">
        <f t="shared" si="93"/>
        <v>6</v>
      </c>
      <c r="AH83" s="1003">
        <f t="shared" si="94"/>
        <v>0</v>
      </c>
      <c r="AI83" s="1004">
        <f t="shared" si="83"/>
        <v>0</v>
      </c>
      <c r="AJ83" s="1005">
        <f t="shared" si="58"/>
        <v>0</v>
      </c>
      <c r="AK83" s="1006">
        <v>6</v>
      </c>
      <c r="AL83" s="1007"/>
      <c r="AM83" s="1007"/>
      <c r="AN83" s="1007"/>
      <c r="AO83" s="1007"/>
      <c r="AP83" s="1008">
        <f t="shared" si="59"/>
        <v>6</v>
      </c>
      <c r="AQ83" s="1009"/>
    </row>
    <row r="84" spans="1:43" ht="20.25">
      <c r="A84" s="1150"/>
      <c r="B84" s="1155"/>
      <c r="C84" s="1161" t="s">
        <v>310</v>
      </c>
      <c r="D84" s="999">
        <v>3.5</v>
      </c>
      <c r="E84" s="1000"/>
      <c r="F84" s="659"/>
      <c r="G84" s="658">
        <f t="shared" si="71"/>
        <v>0</v>
      </c>
      <c r="H84" s="68"/>
      <c r="I84" s="654">
        <f t="shared" si="51"/>
        <v>0</v>
      </c>
      <c r="J84" s="659"/>
      <c r="K84" s="658">
        <f t="shared" si="76"/>
        <v>0</v>
      </c>
      <c r="L84" s="68"/>
      <c r="M84" s="654">
        <f t="shared" si="84"/>
        <v>0</v>
      </c>
      <c r="N84" s="659">
        <v>3</v>
      </c>
      <c r="O84" s="658">
        <f t="shared" si="85"/>
        <v>10.5</v>
      </c>
      <c r="P84" s="657">
        <v>2</v>
      </c>
      <c r="Q84" s="654">
        <f t="shared" si="86"/>
        <v>7</v>
      </c>
      <c r="R84" s="68"/>
      <c r="S84" s="654">
        <f t="shared" si="87"/>
        <v>0</v>
      </c>
      <c r="T84" s="68"/>
      <c r="U84" s="654">
        <f t="shared" si="88"/>
        <v>0</v>
      </c>
      <c r="V84" s="659"/>
      <c r="W84" s="658">
        <f t="shared" si="89"/>
        <v>0</v>
      </c>
      <c r="X84" s="68"/>
      <c r="Y84" s="654">
        <f t="shared" si="90"/>
        <v>0</v>
      </c>
      <c r="Z84" s="659"/>
      <c r="AA84" s="658">
        <f t="shared" si="91"/>
        <v>0</v>
      </c>
      <c r="AB84" s="68"/>
      <c r="AC84" s="654">
        <f t="shared" si="92"/>
        <v>0</v>
      </c>
      <c r="AD84" s="660">
        <f>'[1]Commande Souvenirs, librairie'!F162</f>
        <v>0.88</v>
      </c>
      <c r="AE84" s="1002"/>
      <c r="AF84" s="1151"/>
      <c r="AG84" s="662">
        <f t="shared" si="93"/>
        <v>2.62</v>
      </c>
      <c r="AH84" s="1003">
        <f t="shared" si="94"/>
        <v>13.100000000000001</v>
      </c>
      <c r="AI84" s="1004">
        <f t="shared" si="83"/>
        <v>17.5</v>
      </c>
      <c r="AJ84" s="1005">
        <f t="shared" si="58"/>
        <v>5</v>
      </c>
      <c r="AK84" s="1006">
        <f>174+2</f>
        <v>176</v>
      </c>
      <c r="AL84" s="1007"/>
      <c r="AM84" s="1007"/>
      <c r="AN84" s="1007"/>
      <c r="AO84" s="1007"/>
      <c r="AP84" s="1008">
        <f t="shared" si="59"/>
        <v>171</v>
      </c>
      <c r="AQ84" s="1009"/>
    </row>
    <row r="85" spans="1:43" ht="20.25">
      <c r="A85" s="1150"/>
      <c r="B85" s="1155"/>
      <c r="C85" s="1161" t="s">
        <v>311</v>
      </c>
      <c r="D85" s="999">
        <v>3.5</v>
      </c>
      <c r="E85" s="1000"/>
      <c r="F85" s="659"/>
      <c r="G85" s="658">
        <f t="shared" si="71"/>
        <v>0</v>
      </c>
      <c r="H85" s="68">
        <v>1</v>
      </c>
      <c r="I85" s="654">
        <f t="shared" si="51"/>
        <v>3.5</v>
      </c>
      <c r="J85" s="659"/>
      <c r="K85" s="658">
        <f t="shared" si="76"/>
        <v>0</v>
      </c>
      <c r="L85" s="68"/>
      <c r="M85" s="654">
        <f t="shared" si="84"/>
        <v>0</v>
      </c>
      <c r="N85" s="659"/>
      <c r="O85" s="658">
        <f t="shared" si="85"/>
        <v>0</v>
      </c>
      <c r="P85" s="657">
        <v>1</v>
      </c>
      <c r="Q85" s="654">
        <f t="shared" si="86"/>
        <v>3.5</v>
      </c>
      <c r="R85" s="68"/>
      <c r="S85" s="654">
        <f t="shared" si="87"/>
        <v>0</v>
      </c>
      <c r="T85" s="68"/>
      <c r="U85" s="654">
        <f t="shared" si="88"/>
        <v>0</v>
      </c>
      <c r="V85" s="659"/>
      <c r="W85" s="658">
        <f t="shared" si="89"/>
        <v>0</v>
      </c>
      <c r="X85" s="68"/>
      <c r="Y85" s="654">
        <f t="shared" si="90"/>
        <v>0</v>
      </c>
      <c r="Z85" s="659"/>
      <c r="AA85" s="658">
        <f t="shared" si="91"/>
        <v>0</v>
      </c>
      <c r="AB85" s="68"/>
      <c r="AC85" s="654">
        <f t="shared" si="92"/>
        <v>0</v>
      </c>
      <c r="AD85" s="660">
        <f>'[1]Commande Souvenirs, librairie'!F163</f>
        <v>0.88</v>
      </c>
      <c r="AE85" s="1002"/>
      <c r="AF85" s="1151"/>
      <c r="AG85" s="662">
        <f t="shared" si="93"/>
        <v>2.62</v>
      </c>
      <c r="AH85" s="1003">
        <f t="shared" si="94"/>
        <v>5.24</v>
      </c>
      <c r="AI85" s="1004">
        <f t="shared" si="83"/>
        <v>7</v>
      </c>
      <c r="AJ85" s="1005">
        <f t="shared" si="58"/>
        <v>2</v>
      </c>
      <c r="AK85" s="1006">
        <v>113</v>
      </c>
      <c r="AL85" s="1007"/>
      <c r="AM85" s="1007">
        <v>5</v>
      </c>
      <c r="AN85" s="1007"/>
      <c r="AO85" s="1007"/>
      <c r="AP85" s="1008">
        <f t="shared" si="59"/>
        <v>106</v>
      </c>
      <c r="AQ85" s="1009"/>
    </row>
    <row r="86" spans="1:43" ht="20.25">
      <c r="A86" s="1150"/>
      <c r="B86" s="1155"/>
      <c r="C86" s="1161" t="s">
        <v>687</v>
      </c>
      <c r="D86" s="999">
        <v>4</v>
      </c>
      <c r="E86" s="1000"/>
      <c r="F86" s="659"/>
      <c r="G86" s="658">
        <f t="shared" si="71"/>
        <v>0</v>
      </c>
      <c r="H86" s="68"/>
      <c r="I86" s="654">
        <f t="shared" si="51"/>
        <v>0</v>
      </c>
      <c r="J86" s="659"/>
      <c r="K86" s="658">
        <f t="shared" si="76"/>
        <v>0</v>
      </c>
      <c r="L86" s="68"/>
      <c r="M86" s="654">
        <f t="shared" si="84"/>
        <v>0</v>
      </c>
      <c r="N86" s="659"/>
      <c r="O86" s="658">
        <f t="shared" si="85"/>
        <v>0</v>
      </c>
      <c r="P86" s="657"/>
      <c r="Q86" s="654">
        <f t="shared" si="86"/>
        <v>0</v>
      </c>
      <c r="R86" s="68"/>
      <c r="S86" s="654">
        <f t="shared" si="87"/>
        <v>0</v>
      </c>
      <c r="T86" s="68"/>
      <c r="U86" s="654">
        <f t="shared" si="88"/>
        <v>0</v>
      </c>
      <c r="V86" s="659"/>
      <c r="W86" s="658">
        <f t="shared" si="89"/>
        <v>0</v>
      </c>
      <c r="X86" s="68"/>
      <c r="Y86" s="654">
        <f t="shared" si="90"/>
        <v>0</v>
      </c>
      <c r="Z86" s="659"/>
      <c r="AA86" s="658">
        <f t="shared" si="91"/>
        <v>0</v>
      </c>
      <c r="AB86" s="68"/>
      <c r="AC86" s="654">
        <f t="shared" si="92"/>
        <v>0</v>
      </c>
      <c r="AD86" s="660"/>
      <c r="AE86" s="1002"/>
      <c r="AF86" s="1151"/>
      <c r="AG86" s="662"/>
      <c r="AH86" s="1003"/>
      <c r="AI86" s="1004">
        <f t="shared" si="83"/>
        <v>0</v>
      </c>
      <c r="AJ86" s="1005">
        <f t="shared" si="58"/>
        <v>0</v>
      </c>
      <c r="AK86" s="1006">
        <v>12</v>
      </c>
      <c r="AL86" s="1007"/>
      <c r="AM86" s="1007"/>
      <c r="AN86" s="1007"/>
      <c r="AO86" s="1007"/>
      <c r="AP86" s="1008">
        <f t="shared" si="59"/>
        <v>12</v>
      </c>
      <c r="AQ86" s="1009"/>
    </row>
    <row r="87" spans="1:43" ht="20.25">
      <c r="A87" s="1150"/>
      <c r="B87" s="1155"/>
      <c r="C87" s="1161" t="s">
        <v>396</v>
      </c>
      <c r="D87" s="999">
        <v>3.5</v>
      </c>
      <c r="E87" s="1000"/>
      <c r="F87" s="659"/>
      <c r="G87" s="658">
        <f t="shared" si="71"/>
        <v>0</v>
      </c>
      <c r="H87" s="68"/>
      <c r="I87" s="654">
        <f t="shared" si="51"/>
        <v>0</v>
      </c>
      <c r="J87" s="659"/>
      <c r="K87" s="658">
        <f t="shared" si="76"/>
        <v>0</v>
      </c>
      <c r="L87" s="68"/>
      <c r="M87" s="654">
        <f t="shared" si="84"/>
        <v>0</v>
      </c>
      <c r="N87" s="659"/>
      <c r="O87" s="658">
        <f t="shared" si="85"/>
        <v>0</v>
      </c>
      <c r="P87" s="657"/>
      <c r="Q87" s="654">
        <f t="shared" si="86"/>
        <v>0</v>
      </c>
      <c r="R87" s="68"/>
      <c r="S87" s="654">
        <f t="shared" si="87"/>
        <v>0</v>
      </c>
      <c r="T87" s="68"/>
      <c r="U87" s="654">
        <f t="shared" si="88"/>
        <v>0</v>
      </c>
      <c r="V87" s="659"/>
      <c r="W87" s="658">
        <f t="shared" si="89"/>
        <v>0</v>
      </c>
      <c r="X87" s="68"/>
      <c r="Y87" s="654">
        <f t="shared" si="90"/>
        <v>0</v>
      </c>
      <c r="Z87" s="659"/>
      <c r="AA87" s="658">
        <f t="shared" si="91"/>
        <v>0</v>
      </c>
      <c r="AB87" s="68"/>
      <c r="AC87" s="654">
        <f t="shared" si="92"/>
        <v>0</v>
      </c>
      <c r="AD87" s="660"/>
      <c r="AE87" s="1002"/>
      <c r="AF87" s="1151"/>
      <c r="AG87" s="662"/>
      <c r="AH87" s="1003"/>
      <c r="AI87" s="1004">
        <f t="shared" si="83"/>
        <v>0</v>
      </c>
      <c r="AJ87" s="1005">
        <f t="shared" si="58"/>
        <v>0</v>
      </c>
      <c r="AK87" s="1006"/>
      <c r="AL87" s="1007">
        <v>20</v>
      </c>
      <c r="AM87" s="1007"/>
      <c r="AN87" s="1007"/>
      <c r="AO87" s="1007"/>
      <c r="AP87" s="1008">
        <f t="shared" si="59"/>
        <v>20</v>
      </c>
      <c r="AQ87" s="1009"/>
    </row>
    <row r="88" spans="1:43" ht="20.25">
      <c r="A88" s="1150"/>
      <c r="B88" s="1155"/>
      <c r="C88" s="1161" t="s">
        <v>688</v>
      </c>
      <c r="D88" s="999">
        <v>10</v>
      </c>
      <c r="E88" s="1000"/>
      <c r="F88" s="659"/>
      <c r="G88" s="658">
        <f t="shared" si="71"/>
        <v>0</v>
      </c>
      <c r="H88" s="68"/>
      <c r="I88" s="654">
        <f t="shared" si="51"/>
        <v>0</v>
      </c>
      <c r="J88" s="659"/>
      <c r="K88" s="658">
        <f t="shared" si="76"/>
        <v>0</v>
      </c>
      <c r="L88" s="68"/>
      <c r="M88" s="654">
        <f t="shared" si="84"/>
        <v>0</v>
      </c>
      <c r="N88" s="659"/>
      <c r="O88" s="658">
        <f t="shared" si="85"/>
        <v>0</v>
      </c>
      <c r="P88" s="657"/>
      <c r="Q88" s="654">
        <f t="shared" si="86"/>
        <v>0</v>
      </c>
      <c r="R88" s="68"/>
      <c r="S88" s="654">
        <f t="shared" si="87"/>
        <v>0</v>
      </c>
      <c r="T88" s="68"/>
      <c r="U88" s="654">
        <f t="shared" si="88"/>
        <v>0</v>
      </c>
      <c r="V88" s="659"/>
      <c r="W88" s="658">
        <f t="shared" si="89"/>
        <v>0</v>
      </c>
      <c r="X88" s="68"/>
      <c r="Y88" s="654">
        <f t="shared" si="90"/>
        <v>0</v>
      </c>
      <c r="Z88" s="659"/>
      <c r="AA88" s="658">
        <f t="shared" si="91"/>
        <v>0</v>
      </c>
      <c r="AB88" s="68"/>
      <c r="AC88" s="654">
        <f t="shared" si="92"/>
        <v>0</v>
      </c>
      <c r="AD88" s="660"/>
      <c r="AE88" s="1002"/>
      <c r="AF88" s="1151"/>
      <c r="AG88" s="662"/>
      <c r="AH88" s="1003"/>
      <c r="AI88" s="1004">
        <f t="shared" si="83"/>
        <v>0</v>
      </c>
      <c r="AJ88" s="1005">
        <f t="shared" si="58"/>
        <v>0</v>
      </c>
      <c r="AK88" s="1006">
        <v>2</v>
      </c>
      <c r="AL88" s="1007"/>
      <c r="AM88" s="1007"/>
      <c r="AN88" s="1007"/>
      <c r="AO88" s="1007"/>
      <c r="AP88" s="1008">
        <f t="shared" si="59"/>
        <v>2</v>
      </c>
      <c r="AQ88" s="1009"/>
    </row>
    <row r="89" spans="1:43" ht="20.25">
      <c r="A89" s="1150"/>
      <c r="B89" s="1155"/>
      <c r="C89" s="1161" t="s">
        <v>689</v>
      </c>
      <c r="D89" s="999">
        <v>10</v>
      </c>
      <c r="E89" s="1000"/>
      <c r="F89" s="659"/>
      <c r="G89" s="658">
        <f t="shared" si="71"/>
        <v>0</v>
      </c>
      <c r="H89" s="68"/>
      <c r="I89" s="654">
        <f t="shared" si="51"/>
        <v>0</v>
      </c>
      <c r="J89" s="659"/>
      <c r="K89" s="658">
        <f t="shared" si="76"/>
        <v>0</v>
      </c>
      <c r="L89" s="68"/>
      <c r="M89" s="654">
        <f t="shared" si="84"/>
        <v>0</v>
      </c>
      <c r="N89" s="659"/>
      <c r="O89" s="658">
        <f t="shared" si="85"/>
        <v>0</v>
      </c>
      <c r="P89" s="657"/>
      <c r="Q89" s="654">
        <f t="shared" si="86"/>
        <v>0</v>
      </c>
      <c r="R89" s="68"/>
      <c r="S89" s="654">
        <f t="shared" si="87"/>
        <v>0</v>
      </c>
      <c r="T89" s="68"/>
      <c r="U89" s="654">
        <f t="shared" si="88"/>
        <v>0</v>
      </c>
      <c r="V89" s="659"/>
      <c r="W89" s="658">
        <f t="shared" si="89"/>
        <v>0</v>
      </c>
      <c r="X89" s="68"/>
      <c r="Y89" s="654">
        <f t="shared" si="90"/>
        <v>0</v>
      </c>
      <c r="Z89" s="659"/>
      <c r="AA89" s="658">
        <f t="shared" si="91"/>
        <v>0</v>
      </c>
      <c r="AB89" s="68"/>
      <c r="AC89" s="654">
        <f t="shared" si="92"/>
        <v>0</v>
      </c>
      <c r="AD89" s="660"/>
      <c r="AE89" s="1002"/>
      <c r="AF89" s="1151"/>
      <c r="AG89" s="662"/>
      <c r="AH89" s="1003"/>
      <c r="AI89" s="1004">
        <f t="shared" si="83"/>
        <v>0</v>
      </c>
      <c r="AJ89" s="1005">
        <f t="shared" si="58"/>
        <v>0</v>
      </c>
      <c r="AK89" s="1006">
        <v>2</v>
      </c>
      <c r="AL89" s="1007"/>
      <c r="AM89" s="1007"/>
      <c r="AN89" s="1007"/>
      <c r="AO89" s="1007"/>
      <c r="AP89" s="1008">
        <f t="shared" si="59"/>
        <v>2</v>
      </c>
      <c r="AQ89" s="1009"/>
    </row>
    <row r="90" spans="1:43" ht="20.25">
      <c r="A90" s="1150"/>
      <c r="B90" s="1155"/>
      <c r="C90" s="1161" t="s">
        <v>312</v>
      </c>
      <c r="D90" s="999">
        <v>3.5</v>
      </c>
      <c r="E90" s="1000"/>
      <c r="F90" s="659"/>
      <c r="G90" s="658">
        <f t="shared" si="71"/>
        <v>0</v>
      </c>
      <c r="H90" s="68"/>
      <c r="I90" s="654">
        <f t="shared" si="51"/>
        <v>0</v>
      </c>
      <c r="J90" s="659"/>
      <c r="K90" s="658">
        <f t="shared" si="76"/>
        <v>0</v>
      </c>
      <c r="L90" s="68"/>
      <c r="M90" s="654">
        <f t="shared" si="84"/>
        <v>0</v>
      </c>
      <c r="N90" s="659"/>
      <c r="O90" s="658">
        <f t="shared" si="85"/>
        <v>0</v>
      </c>
      <c r="P90" s="657">
        <v>1</v>
      </c>
      <c r="Q90" s="654">
        <f t="shared" si="86"/>
        <v>3.5</v>
      </c>
      <c r="R90" s="68"/>
      <c r="S90" s="654">
        <f t="shared" si="87"/>
        <v>0</v>
      </c>
      <c r="T90" s="68"/>
      <c r="U90" s="654">
        <f t="shared" si="88"/>
        <v>0</v>
      </c>
      <c r="V90" s="659"/>
      <c r="W90" s="658">
        <f t="shared" si="89"/>
        <v>0</v>
      </c>
      <c r="X90" s="68"/>
      <c r="Y90" s="654">
        <f t="shared" si="90"/>
        <v>0</v>
      </c>
      <c r="Z90" s="659"/>
      <c r="AA90" s="658">
        <f t="shared" si="91"/>
        <v>0</v>
      </c>
      <c r="AB90" s="68"/>
      <c r="AC90" s="654">
        <f t="shared" si="92"/>
        <v>0</v>
      </c>
      <c r="AD90" s="660">
        <f>'[1]Commande Souvenirs, librairie'!F164</f>
        <v>0.88</v>
      </c>
      <c r="AE90" s="1002"/>
      <c r="AF90" s="1151"/>
      <c r="AG90" s="662">
        <f aca="true" t="shared" si="95" ref="AG90:AG94">D90-AD90</f>
        <v>2.62</v>
      </c>
      <c r="AH90" s="1003">
        <f aca="true" t="shared" si="96" ref="AH90:AH94">AG90*AJ90</f>
        <v>2.62</v>
      </c>
      <c r="AI90" s="1004">
        <f t="shared" si="83"/>
        <v>3.5</v>
      </c>
      <c r="AJ90" s="1005">
        <f t="shared" si="58"/>
        <v>1</v>
      </c>
      <c r="AK90" s="1006">
        <v>142</v>
      </c>
      <c r="AL90" s="1007"/>
      <c r="AM90" s="1007"/>
      <c r="AN90" s="1007"/>
      <c r="AO90" s="1007"/>
      <c r="AP90" s="1008">
        <f t="shared" si="59"/>
        <v>141</v>
      </c>
      <c r="AQ90" s="1009"/>
    </row>
    <row r="91" spans="1:43" ht="20.25">
      <c r="A91" s="1150"/>
      <c r="B91" s="1155"/>
      <c r="C91" s="1161" t="s">
        <v>316</v>
      </c>
      <c r="D91" s="999">
        <v>3.5</v>
      </c>
      <c r="E91" s="1000"/>
      <c r="F91" s="659"/>
      <c r="G91" s="658">
        <f t="shared" si="71"/>
        <v>0</v>
      </c>
      <c r="H91" s="68"/>
      <c r="I91" s="654">
        <f t="shared" si="51"/>
        <v>0</v>
      </c>
      <c r="J91" s="659"/>
      <c r="K91" s="658">
        <f t="shared" si="76"/>
        <v>0</v>
      </c>
      <c r="L91" s="68"/>
      <c r="M91" s="654">
        <f t="shared" si="84"/>
        <v>0</v>
      </c>
      <c r="N91" s="659"/>
      <c r="O91" s="658">
        <f t="shared" si="85"/>
        <v>0</v>
      </c>
      <c r="P91" s="657"/>
      <c r="Q91" s="654">
        <f t="shared" si="86"/>
        <v>0</v>
      </c>
      <c r="R91" s="68"/>
      <c r="S91" s="654">
        <f t="shared" si="87"/>
        <v>0</v>
      </c>
      <c r="T91" s="68"/>
      <c r="U91" s="654">
        <f t="shared" si="88"/>
        <v>0</v>
      </c>
      <c r="V91" s="659"/>
      <c r="W91" s="658">
        <f t="shared" si="89"/>
        <v>0</v>
      </c>
      <c r="X91" s="68"/>
      <c r="Y91" s="654">
        <f t="shared" si="90"/>
        <v>0</v>
      </c>
      <c r="Z91" s="659"/>
      <c r="AA91" s="658">
        <f t="shared" si="91"/>
        <v>0</v>
      </c>
      <c r="AB91" s="68"/>
      <c r="AC91" s="654">
        <f t="shared" si="92"/>
        <v>0</v>
      </c>
      <c r="AD91" s="660">
        <f>'[1]Commande Souvenirs, librairie'!F165</f>
        <v>0.88</v>
      </c>
      <c r="AE91" s="1002"/>
      <c r="AF91" s="1151"/>
      <c r="AG91" s="662">
        <f t="shared" si="95"/>
        <v>2.62</v>
      </c>
      <c r="AH91" s="1003">
        <f t="shared" si="96"/>
        <v>0</v>
      </c>
      <c r="AI91" s="1004">
        <f t="shared" si="83"/>
        <v>0</v>
      </c>
      <c r="AJ91" s="1005">
        <f t="shared" si="58"/>
        <v>0</v>
      </c>
      <c r="AK91" s="1006">
        <v>121</v>
      </c>
      <c r="AL91" s="1007"/>
      <c r="AM91" s="1007"/>
      <c r="AN91" s="1007"/>
      <c r="AO91" s="1007"/>
      <c r="AP91" s="1008">
        <f t="shared" si="59"/>
        <v>121</v>
      </c>
      <c r="AQ91" s="1009"/>
    </row>
    <row r="92" spans="1:43" ht="20.25">
      <c r="A92" s="1150"/>
      <c r="B92" s="1155"/>
      <c r="C92" s="1161" t="s">
        <v>317</v>
      </c>
      <c r="D92" s="999">
        <v>3.5</v>
      </c>
      <c r="E92" s="1000"/>
      <c r="F92" s="659"/>
      <c r="G92" s="658">
        <f t="shared" si="71"/>
        <v>0</v>
      </c>
      <c r="H92" s="68">
        <v>1</v>
      </c>
      <c r="I92" s="654">
        <f t="shared" si="51"/>
        <v>3.5</v>
      </c>
      <c r="J92" s="659"/>
      <c r="K92" s="658">
        <f t="shared" si="76"/>
        <v>0</v>
      </c>
      <c r="L92" s="68"/>
      <c r="M92" s="654">
        <f t="shared" si="84"/>
        <v>0</v>
      </c>
      <c r="N92" s="659"/>
      <c r="O92" s="658">
        <f t="shared" si="85"/>
        <v>0</v>
      </c>
      <c r="P92" s="657"/>
      <c r="Q92" s="654">
        <f t="shared" si="86"/>
        <v>0</v>
      </c>
      <c r="R92" s="68"/>
      <c r="S92" s="654">
        <f t="shared" si="87"/>
        <v>0</v>
      </c>
      <c r="T92" s="68"/>
      <c r="U92" s="654">
        <f t="shared" si="88"/>
        <v>0</v>
      </c>
      <c r="V92" s="659"/>
      <c r="W92" s="658">
        <f t="shared" si="89"/>
        <v>0</v>
      </c>
      <c r="X92" s="68"/>
      <c r="Y92" s="654">
        <f t="shared" si="90"/>
        <v>0</v>
      </c>
      <c r="Z92" s="659"/>
      <c r="AA92" s="658">
        <f t="shared" si="91"/>
        <v>0</v>
      </c>
      <c r="AB92" s="68"/>
      <c r="AC92" s="654">
        <f t="shared" si="92"/>
        <v>0</v>
      </c>
      <c r="AD92" s="660">
        <f>'[1]Commande Souvenirs, librairie'!F166</f>
        <v>0.88</v>
      </c>
      <c r="AE92" s="1002"/>
      <c r="AF92" s="1151"/>
      <c r="AG92" s="662">
        <f t="shared" si="95"/>
        <v>2.62</v>
      </c>
      <c r="AH92" s="1003">
        <f t="shared" si="96"/>
        <v>2.62</v>
      </c>
      <c r="AI92" s="1004">
        <f t="shared" si="83"/>
        <v>3.5</v>
      </c>
      <c r="AJ92" s="1005">
        <f t="shared" si="58"/>
        <v>1</v>
      </c>
      <c r="AK92" s="1006">
        <f>40+30+6+3</f>
        <v>79</v>
      </c>
      <c r="AL92" s="1007"/>
      <c r="AM92" s="1007"/>
      <c r="AN92" s="1007"/>
      <c r="AO92" s="1007"/>
      <c r="AP92" s="1008">
        <f t="shared" si="59"/>
        <v>78</v>
      </c>
      <c r="AQ92" s="1009"/>
    </row>
    <row r="93" spans="1:43" ht="20.25">
      <c r="A93" s="1150"/>
      <c r="B93" s="1155"/>
      <c r="C93" s="1162" t="s">
        <v>313</v>
      </c>
      <c r="D93" s="1011">
        <v>3.5</v>
      </c>
      <c r="E93" s="1012"/>
      <c r="F93" s="706"/>
      <c r="G93" s="705">
        <f t="shared" si="71"/>
        <v>0</v>
      </c>
      <c r="H93" s="703"/>
      <c r="I93" s="700">
        <f t="shared" si="51"/>
        <v>0</v>
      </c>
      <c r="J93" s="706"/>
      <c r="K93" s="705">
        <f t="shared" si="76"/>
        <v>0</v>
      </c>
      <c r="L93" s="703"/>
      <c r="M93" s="700">
        <f t="shared" si="84"/>
        <v>0</v>
      </c>
      <c r="N93" s="706">
        <v>1</v>
      </c>
      <c r="O93" s="705">
        <f t="shared" si="85"/>
        <v>3.5</v>
      </c>
      <c r="P93" s="704">
        <v>1</v>
      </c>
      <c r="Q93" s="700">
        <f t="shared" si="86"/>
        <v>3.5</v>
      </c>
      <c r="R93" s="703"/>
      <c r="S93" s="700">
        <f t="shared" si="87"/>
        <v>0</v>
      </c>
      <c r="T93" s="703"/>
      <c r="U93" s="700">
        <f t="shared" si="88"/>
        <v>0</v>
      </c>
      <c r="V93" s="706"/>
      <c r="W93" s="705">
        <f t="shared" si="89"/>
        <v>0</v>
      </c>
      <c r="X93" s="703"/>
      <c r="Y93" s="700">
        <f t="shared" si="90"/>
        <v>0</v>
      </c>
      <c r="Z93" s="706"/>
      <c r="AA93" s="705">
        <f t="shared" si="91"/>
        <v>0</v>
      </c>
      <c r="AB93" s="703"/>
      <c r="AC93" s="700">
        <f t="shared" si="92"/>
        <v>0</v>
      </c>
      <c r="AD93" s="707">
        <f>'[1]Commande Souvenirs, librairie'!F43</f>
        <v>1.86</v>
      </c>
      <c r="AE93" s="1014"/>
      <c r="AF93" s="1151"/>
      <c r="AG93" s="709">
        <f t="shared" si="95"/>
        <v>1.64</v>
      </c>
      <c r="AH93" s="1024">
        <f t="shared" si="96"/>
        <v>3.28</v>
      </c>
      <c r="AI93" s="1004">
        <f t="shared" si="83"/>
        <v>7</v>
      </c>
      <c r="AJ93" s="1005">
        <f t="shared" si="58"/>
        <v>2</v>
      </c>
      <c r="AK93" s="1006">
        <v>53</v>
      </c>
      <c r="AL93" s="1007"/>
      <c r="AM93" s="1007">
        <v>5</v>
      </c>
      <c r="AN93" s="1007"/>
      <c r="AO93" s="1007"/>
      <c r="AP93" s="1008">
        <f t="shared" si="59"/>
        <v>46</v>
      </c>
      <c r="AQ93" s="1009"/>
    </row>
    <row r="94" spans="1:43" ht="20.25">
      <c r="A94" s="1150"/>
      <c r="B94" s="1163" t="s">
        <v>690</v>
      </c>
      <c r="C94" s="1164" t="s">
        <v>691</v>
      </c>
      <c r="D94" s="986">
        <v>3</v>
      </c>
      <c r="E94" s="987"/>
      <c r="F94" s="637"/>
      <c r="G94" s="636">
        <f t="shared" si="71"/>
        <v>0</v>
      </c>
      <c r="H94" s="634"/>
      <c r="I94" s="631">
        <f t="shared" si="51"/>
        <v>0</v>
      </c>
      <c r="J94" s="637"/>
      <c r="K94" s="636">
        <f t="shared" si="76"/>
        <v>0</v>
      </c>
      <c r="L94" s="634"/>
      <c r="M94" s="631">
        <f t="shared" si="84"/>
        <v>0</v>
      </c>
      <c r="N94" s="637"/>
      <c r="O94" s="636">
        <f t="shared" si="85"/>
        <v>0</v>
      </c>
      <c r="P94" s="635"/>
      <c r="Q94" s="631">
        <f t="shared" si="86"/>
        <v>0</v>
      </c>
      <c r="R94" s="634"/>
      <c r="S94" s="631">
        <f t="shared" si="87"/>
        <v>0</v>
      </c>
      <c r="T94" s="634"/>
      <c r="U94" s="631">
        <f t="shared" si="88"/>
        <v>0</v>
      </c>
      <c r="V94" s="637"/>
      <c r="W94" s="636">
        <f t="shared" si="89"/>
        <v>0</v>
      </c>
      <c r="X94" s="634"/>
      <c r="Y94" s="631">
        <f t="shared" si="90"/>
        <v>0</v>
      </c>
      <c r="Z94" s="637"/>
      <c r="AA94" s="636">
        <f t="shared" si="91"/>
        <v>0</v>
      </c>
      <c r="AB94" s="634"/>
      <c r="AC94" s="1165">
        <f t="shared" si="92"/>
        <v>0</v>
      </c>
      <c r="AD94" s="638">
        <f>'[1]Commande Souvenirs, librairie'!F67</f>
        <v>2</v>
      </c>
      <c r="AE94" s="639"/>
      <c r="AF94" s="1151"/>
      <c r="AG94" s="641">
        <f t="shared" si="95"/>
        <v>1</v>
      </c>
      <c r="AH94" s="1025">
        <f t="shared" si="96"/>
        <v>0</v>
      </c>
      <c r="AI94" s="1004">
        <f t="shared" si="83"/>
        <v>0</v>
      </c>
      <c r="AJ94" s="1005">
        <f t="shared" si="58"/>
        <v>0</v>
      </c>
      <c r="AK94" s="1006">
        <v>3</v>
      </c>
      <c r="AL94" s="1007"/>
      <c r="AM94" s="1007"/>
      <c r="AN94" s="1007"/>
      <c r="AO94" s="1007"/>
      <c r="AP94" s="1008">
        <f t="shared" si="59"/>
        <v>3</v>
      </c>
      <c r="AQ94" s="1009"/>
    </row>
    <row r="95" spans="1:43" ht="20.25">
      <c r="A95" s="1150"/>
      <c r="B95" s="1163"/>
      <c r="C95" s="1166" t="s">
        <v>692</v>
      </c>
      <c r="D95" s="1018">
        <v>7</v>
      </c>
      <c r="E95" s="1019"/>
      <c r="F95" s="729"/>
      <c r="G95" s="728">
        <f t="shared" si="71"/>
        <v>0</v>
      </c>
      <c r="H95" s="49"/>
      <c r="I95" s="724">
        <f t="shared" si="51"/>
        <v>0</v>
      </c>
      <c r="J95" s="729"/>
      <c r="K95" s="728">
        <f t="shared" si="76"/>
        <v>0</v>
      </c>
      <c r="L95" s="49"/>
      <c r="M95" s="724">
        <f t="shared" si="84"/>
        <v>0</v>
      </c>
      <c r="N95" s="729"/>
      <c r="O95" s="728">
        <f t="shared" si="85"/>
        <v>0</v>
      </c>
      <c r="P95" s="727"/>
      <c r="Q95" s="724">
        <f t="shared" si="86"/>
        <v>0</v>
      </c>
      <c r="R95" s="49"/>
      <c r="S95" s="724">
        <f t="shared" si="87"/>
        <v>0</v>
      </c>
      <c r="T95" s="49"/>
      <c r="U95" s="724">
        <f t="shared" si="88"/>
        <v>0</v>
      </c>
      <c r="V95" s="729"/>
      <c r="W95" s="728">
        <f t="shared" si="89"/>
        <v>0</v>
      </c>
      <c r="X95" s="49"/>
      <c r="Y95" s="724">
        <f t="shared" si="90"/>
        <v>0</v>
      </c>
      <c r="Z95" s="729"/>
      <c r="AA95" s="728">
        <f t="shared" si="91"/>
        <v>0</v>
      </c>
      <c r="AB95" s="49"/>
      <c r="AC95" s="1167">
        <f t="shared" si="92"/>
        <v>0</v>
      </c>
      <c r="AD95" s="730"/>
      <c r="AE95" s="731"/>
      <c r="AF95" s="1151"/>
      <c r="AG95" s="1122"/>
      <c r="AH95" s="1123"/>
      <c r="AI95" s="1004">
        <f t="shared" si="83"/>
        <v>0</v>
      </c>
      <c r="AJ95" s="1005"/>
      <c r="AK95" s="1006"/>
      <c r="AL95" s="1007"/>
      <c r="AM95" s="1007"/>
      <c r="AN95" s="1007"/>
      <c r="AO95" s="1007"/>
      <c r="AP95" s="1008"/>
      <c r="AQ95" s="1009"/>
    </row>
    <row r="96" spans="1:43" ht="20.25">
      <c r="A96" s="1150"/>
      <c r="B96" s="1163"/>
      <c r="C96" s="1160" t="s">
        <v>294</v>
      </c>
      <c r="D96" s="999">
        <v>3</v>
      </c>
      <c r="E96" s="1000"/>
      <c r="F96" s="659"/>
      <c r="G96" s="658">
        <f t="shared" si="71"/>
        <v>0</v>
      </c>
      <c r="H96" s="68"/>
      <c r="I96" s="654">
        <f t="shared" si="51"/>
        <v>0</v>
      </c>
      <c r="J96" s="659"/>
      <c r="K96" s="658">
        <f t="shared" si="76"/>
        <v>0</v>
      </c>
      <c r="L96" s="68"/>
      <c r="M96" s="654">
        <f t="shared" si="84"/>
        <v>0</v>
      </c>
      <c r="N96" s="659"/>
      <c r="O96" s="658">
        <f t="shared" si="85"/>
        <v>0</v>
      </c>
      <c r="P96" s="657"/>
      <c r="Q96" s="654">
        <f t="shared" si="86"/>
        <v>0</v>
      </c>
      <c r="R96" s="68"/>
      <c r="S96" s="654">
        <f t="shared" si="87"/>
        <v>0</v>
      </c>
      <c r="T96" s="68"/>
      <c r="U96" s="654">
        <f t="shared" si="88"/>
        <v>0</v>
      </c>
      <c r="V96" s="659"/>
      <c r="W96" s="658">
        <f t="shared" si="89"/>
        <v>0</v>
      </c>
      <c r="X96" s="68"/>
      <c r="Y96" s="654">
        <f t="shared" si="90"/>
        <v>0</v>
      </c>
      <c r="Z96" s="659"/>
      <c r="AA96" s="658">
        <f t="shared" si="91"/>
        <v>0</v>
      </c>
      <c r="AB96" s="68"/>
      <c r="AC96" s="1168">
        <f t="shared" si="92"/>
        <v>0</v>
      </c>
      <c r="AD96" s="660">
        <f>'[1]Commande Souvenirs, librairie'!F66</f>
        <v>2</v>
      </c>
      <c r="AE96" s="661"/>
      <c r="AF96" s="1151"/>
      <c r="AG96" s="662">
        <f aca="true" t="shared" si="97" ref="AG96:AG98">D96-AD96</f>
        <v>1</v>
      </c>
      <c r="AH96" s="1003">
        <f aca="true" t="shared" si="98" ref="AH96:AH98">AG96*AJ96</f>
        <v>0</v>
      </c>
      <c r="AI96" s="1004">
        <f t="shared" si="83"/>
        <v>0</v>
      </c>
      <c r="AJ96" s="1005">
        <f aca="true" t="shared" si="99" ref="AJ96:AJ184">SUM(F96+H96+J96+L96+N96+P96+R96+T96+V96+X96+Z96+AB96)</f>
        <v>0</v>
      </c>
      <c r="AK96" s="1006">
        <v>10</v>
      </c>
      <c r="AL96" s="1007"/>
      <c r="AM96" s="1007"/>
      <c r="AN96" s="1007"/>
      <c r="AO96" s="1007"/>
      <c r="AP96" s="1008">
        <f aca="true" t="shared" si="100" ref="AP96:AP227">(AK96+AL96)-AJ96-AM96+AN96</f>
        <v>10</v>
      </c>
      <c r="AQ96" s="1009"/>
    </row>
    <row r="97" spans="1:43" ht="21">
      <c r="A97" s="1150"/>
      <c r="B97" s="1163"/>
      <c r="C97" s="1169" t="s">
        <v>693</v>
      </c>
      <c r="D97" s="1011">
        <v>5</v>
      </c>
      <c r="E97" s="1012"/>
      <c r="F97" s="706"/>
      <c r="G97" s="705">
        <f t="shared" si="71"/>
        <v>0</v>
      </c>
      <c r="H97" s="703"/>
      <c r="I97" s="700">
        <f t="shared" si="51"/>
        <v>0</v>
      </c>
      <c r="J97" s="706"/>
      <c r="K97" s="705">
        <f t="shared" si="76"/>
        <v>0</v>
      </c>
      <c r="L97" s="703"/>
      <c r="M97" s="700">
        <f t="shared" si="84"/>
        <v>0</v>
      </c>
      <c r="N97" s="706"/>
      <c r="O97" s="705">
        <f t="shared" si="85"/>
        <v>0</v>
      </c>
      <c r="P97" s="704"/>
      <c r="Q97" s="700">
        <f t="shared" si="86"/>
        <v>0</v>
      </c>
      <c r="R97" s="703"/>
      <c r="S97" s="700">
        <f t="shared" si="87"/>
        <v>0</v>
      </c>
      <c r="T97" s="703"/>
      <c r="U97" s="700">
        <f t="shared" si="88"/>
        <v>0</v>
      </c>
      <c r="V97" s="706"/>
      <c r="W97" s="705">
        <f t="shared" si="89"/>
        <v>0</v>
      </c>
      <c r="X97" s="703"/>
      <c r="Y97" s="700">
        <f t="shared" si="90"/>
        <v>0</v>
      </c>
      <c r="Z97" s="706"/>
      <c r="AA97" s="705">
        <f t="shared" si="91"/>
        <v>0</v>
      </c>
      <c r="AB97" s="703"/>
      <c r="AC97" s="1170">
        <f t="shared" si="92"/>
        <v>0</v>
      </c>
      <c r="AD97" s="707">
        <f>'[1]Commande Souvenirs, librairie'!F68</f>
        <v>3</v>
      </c>
      <c r="AE97" s="708"/>
      <c r="AF97" s="1151"/>
      <c r="AG97" s="709">
        <f t="shared" si="97"/>
        <v>2</v>
      </c>
      <c r="AH97" s="1024">
        <f t="shared" si="98"/>
        <v>0</v>
      </c>
      <c r="AI97" s="1004">
        <f t="shared" si="83"/>
        <v>0</v>
      </c>
      <c r="AJ97" s="1005">
        <f t="shared" si="99"/>
        <v>0</v>
      </c>
      <c r="AK97" s="1006">
        <v>4</v>
      </c>
      <c r="AL97" s="1007"/>
      <c r="AM97" s="1007"/>
      <c r="AN97" s="1007"/>
      <c r="AO97" s="1007"/>
      <c r="AP97" s="1008">
        <f t="shared" si="100"/>
        <v>4</v>
      </c>
      <c r="AQ97" s="1009"/>
    </row>
    <row r="98" spans="1:43" ht="20.25">
      <c r="A98" s="1150"/>
      <c r="B98" s="1171"/>
      <c r="C98" s="1161" t="s">
        <v>694</v>
      </c>
      <c r="D98" s="999">
        <v>2.5</v>
      </c>
      <c r="E98" s="1000"/>
      <c r="F98" s="659"/>
      <c r="G98" s="658">
        <f t="shared" si="71"/>
        <v>0</v>
      </c>
      <c r="H98" s="68"/>
      <c r="I98" s="654">
        <f t="shared" si="51"/>
        <v>0</v>
      </c>
      <c r="J98" s="659"/>
      <c r="K98" s="658">
        <f t="shared" si="76"/>
        <v>0</v>
      </c>
      <c r="L98" s="68"/>
      <c r="M98" s="654">
        <f t="shared" si="84"/>
        <v>0</v>
      </c>
      <c r="N98" s="659"/>
      <c r="O98" s="658">
        <f t="shared" si="85"/>
        <v>0</v>
      </c>
      <c r="P98" s="657"/>
      <c r="Q98" s="654">
        <f t="shared" si="86"/>
        <v>0</v>
      </c>
      <c r="R98" s="68"/>
      <c r="S98" s="654">
        <f t="shared" si="87"/>
        <v>0</v>
      </c>
      <c r="T98" s="68"/>
      <c r="U98" s="654">
        <f t="shared" si="88"/>
        <v>0</v>
      </c>
      <c r="V98" s="659"/>
      <c r="W98" s="658">
        <f t="shared" si="89"/>
        <v>0</v>
      </c>
      <c r="X98" s="68"/>
      <c r="Y98" s="654">
        <f t="shared" si="90"/>
        <v>0</v>
      </c>
      <c r="Z98" s="659"/>
      <c r="AA98" s="658">
        <f t="shared" si="91"/>
        <v>0</v>
      </c>
      <c r="AB98" s="68"/>
      <c r="AC98" s="654">
        <f t="shared" si="92"/>
        <v>0</v>
      </c>
      <c r="AD98" s="660">
        <f>'[1]Commande Souvenirs, librairie'!F27</f>
        <v>2</v>
      </c>
      <c r="AE98" s="661"/>
      <c r="AF98" s="1151"/>
      <c r="AG98" s="662">
        <f t="shared" si="97"/>
        <v>0.5</v>
      </c>
      <c r="AH98" s="1003">
        <f t="shared" si="98"/>
        <v>0</v>
      </c>
      <c r="AI98" s="1004">
        <f t="shared" si="83"/>
        <v>0</v>
      </c>
      <c r="AJ98" s="1005">
        <f t="shared" si="99"/>
        <v>0</v>
      </c>
      <c r="AK98" s="1006">
        <v>11</v>
      </c>
      <c r="AL98" s="1007"/>
      <c r="AM98" s="1007"/>
      <c r="AN98" s="1007"/>
      <c r="AO98" s="1007"/>
      <c r="AP98" s="1008">
        <f t="shared" si="100"/>
        <v>11</v>
      </c>
      <c r="AQ98" s="1009"/>
    </row>
    <row r="99" spans="1:43" ht="20.25">
      <c r="A99" s="1150"/>
      <c r="B99" s="1171"/>
      <c r="C99" s="1161" t="s">
        <v>248</v>
      </c>
      <c r="D99" s="999">
        <v>6.5</v>
      </c>
      <c r="E99" s="1000"/>
      <c r="F99" s="659"/>
      <c r="G99" s="658">
        <f t="shared" si="71"/>
        <v>0</v>
      </c>
      <c r="H99" s="68"/>
      <c r="I99" s="654">
        <f t="shared" si="51"/>
        <v>0</v>
      </c>
      <c r="J99" s="659"/>
      <c r="K99" s="658">
        <f t="shared" si="76"/>
        <v>0</v>
      </c>
      <c r="L99" s="68"/>
      <c r="M99" s="654">
        <f t="shared" si="84"/>
        <v>0</v>
      </c>
      <c r="N99" s="659">
        <v>1</v>
      </c>
      <c r="O99" s="658">
        <f t="shared" si="85"/>
        <v>6.5</v>
      </c>
      <c r="P99" s="657">
        <v>1</v>
      </c>
      <c r="Q99" s="654">
        <f t="shared" si="86"/>
        <v>6.5</v>
      </c>
      <c r="R99" s="68"/>
      <c r="S99" s="654">
        <f t="shared" si="87"/>
        <v>0</v>
      </c>
      <c r="T99" s="68"/>
      <c r="U99" s="654">
        <f t="shared" si="88"/>
        <v>0</v>
      </c>
      <c r="V99" s="659"/>
      <c r="W99" s="658">
        <f t="shared" si="89"/>
        <v>0</v>
      </c>
      <c r="X99" s="68"/>
      <c r="Y99" s="654">
        <f t="shared" si="90"/>
        <v>0</v>
      </c>
      <c r="Z99" s="659"/>
      <c r="AA99" s="658">
        <f t="shared" si="91"/>
        <v>0</v>
      </c>
      <c r="AB99" s="68"/>
      <c r="AC99" s="654">
        <f t="shared" si="92"/>
        <v>0</v>
      </c>
      <c r="AD99" s="660"/>
      <c r="AE99" s="661"/>
      <c r="AF99" s="1151"/>
      <c r="AG99" s="662"/>
      <c r="AH99" s="1003"/>
      <c r="AI99" s="1004">
        <f t="shared" si="83"/>
        <v>13</v>
      </c>
      <c r="AJ99" s="1005">
        <f t="shared" si="99"/>
        <v>2</v>
      </c>
      <c r="AK99" s="1006">
        <v>10</v>
      </c>
      <c r="AL99" s="1007">
        <v>15</v>
      </c>
      <c r="AM99" s="1007">
        <v>5</v>
      </c>
      <c r="AN99" s="1007"/>
      <c r="AO99" s="1007"/>
      <c r="AP99" s="1008">
        <f t="shared" si="100"/>
        <v>18</v>
      </c>
      <c r="AQ99" s="1009"/>
    </row>
    <row r="100" spans="1:43" ht="20.25">
      <c r="A100" s="1150"/>
      <c r="B100" s="1171"/>
      <c r="C100" s="1161" t="s">
        <v>212</v>
      </c>
      <c r="D100" s="999">
        <v>15</v>
      </c>
      <c r="E100" s="1000"/>
      <c r="F100" s="659"/>
      <c r="G100" s="658">
        <f t="shared" si="71"/>
        <v>0</v>
      </c>
      <c r="H100" s="68"/>
      <c r="I100" s="654">
        <f t="shared" si="51"/>
        <v>0</v>
      </c>
      <c r="J100" s="659"/>
      <c r="K100" s="658">
        <f t="shared" si="76"/>
        <v>0</v>
      </c>
      <c r="L100" s="68"/>
      <c r="M100" s="654">
        <f t="shared" si="84"/>
        <v>0</v>
      </c>
      <c r="N100" s="659">
        <v>1</v>
      </c>
      <c r="O100" s="658">
        <f t="shared" si="85"/>
        <v>15</v>
      </c>
      <c r="P100" s="657"/>
      <c r="Q100" s="654">
        <f t="shared" si="86"/>
        <v>0</v>
      </c>
      <c r="R100" s="68"/>
      <c r="S100" s="654">
        <f t="shared" si="87"/>
        <v>0</v>
      </c>
      <c r="T100" s="68"/>
      <c r="U100" s="654">
        <f t="shared" si="88"/>
        <v>0</v>
      </c>
      <c r="V100" s="659"/>
      <c r="W100" s="658">
        <f t="shared" si="89"/>
        <v>0</v>
      </c>
      <c r="X100" s="68"/>
      <c r="Y100" s="654">
        <f t="shared" si="90"/>
        <v>0</v>
      </c>
      <c r="Z100" s="659"/>
      <c r="AA100" s="658">
        <f t="shared" si="91"/>
        <v>0</v>
      </c>
      <c r="AB100" s="68"/>
      <c r="AC100" s="654">
        <f t="shared" si="92"/>
        <v>0</v>
      </c>
      <c r="AD100" s="660">
        <f>'[1]Commande Souvenirs, librairie'!F29</f>
        <v>7</v>
      </c>
      <c r="AE100" s="661"/>
      <c r="AF100" s="1151"/>
      <c r="AG100" s="662">
        <f>D100-AD100</f>
        <v>8</v>
      </c>
      <c r="AH100" s="1003">
        <f>AG100*AJ100</f>
        <v>8</v>
      </c>
      <c r="AI100" s="1004">
        <f t="shared" si="83"/>
        <v>15</v>
      </c>
      <c r="AJ100" s="1005">
        <f t="shared" si="99"/>
        <v>1</v>
      </c>
      <c r="AK100" s="1006">
        <v>5</v>
      </c>
      <c r="AL100" s="1007">
        <v>15</v>
      </c>
      <c r="AM100" s="1007">
        <v>6</v>
      </c>
      <c r="AN100" s="1007"/>
      <c r="AO100" s="1007"/>
      <c r="AP100" s="1008">
        <f t="shared" si="100"/>
        <v>13</v>
      </c>
      <c r="AQ100" s="1009"/>
    </row>
    <row r="101" spans="1:43" ht="20.25">
      <c r="A101" s="1150"/>
      <c r="B101" s="1171"/>
      <c r="C101" s="1161" t="s">
        <v>695</v>
      </c>
      <c r="D101" s="999">
        <v>6</v>
      </c>
      <c r="E101" s="1000"/>
      <c r="F101" s="659"/>
      <c r="G101" s="658">
        <f t="shared" si="71"/>
        <v>0</v>
      </c>
      <c r="H101" s="68"/>
      <c r="I101" s="654">
        <f t="shared" si="51"/>
        <v>0</v>
      </c>
      <c r="J101" s="659"/>
      <c r="K101" s="658">
        <f t="shared" si="76"/>
        <v>0</v>
      </c>
      <c r="L101" s="68">
        <v>2</v>
      </c>
      <c r="M101" s="654">
        <f t="shared" si="84"/>
        <v>12</v>
      </c>
      <c r="N101" s="659"/>
      <c r="O101" s="658">
        <f t="shared" si="85"/>
        <v>0</v>
      </c>
      <c r="P101" s="657"/>
      <c r="Q101" s="654">
        <f t="shared" si="86"/>
        <v>0</v>
      </c>
      <c r="R101" s="68"/>
      <c r="S101" s="654">
        <f t="shared" si="87"/>
        <v>0</v>
      </c>
      <c r="T101" s="68"/>
      <c r="U101" s="654">
        <f t="shared" si="88"/>
        <v>0</v>
      </c>
      <c r="V101" s="659"/>
      <c r="W101" s="658">
        <f t="shared" si="89"/>
        <v>0</v>
      </c>
      <c r="X101" s="68"/>
      <c r="Y101" s="654">
        <f t="shared" si="90"/>
        <v>0</v>
      </c>
      <c r="Z101" s="659"/>
      <c r="AA101" s="658">
        <f t="shared" si="91"/>
        <v>0</v>
      </c>
      <c r="AB101" s="68"/>
      <c r="AC101" s="654">
        <f t="shared" si="92"/>
        <v>0</v>
      </c>
      <c r="AD101" s="660"/>
      <c r="AE101" s="661"/>
      <c r="AF101" s="1151"/>
      <c r="AG101" s="662"/>
      <c r="AH101" s="1003"/>
      <c r="AI101" s="1004">
        <f t="shared" si="83"/>
        <v>12</v>
      </c>
      <c r="AJ101" s="1005">
        <f t="shared" si="99"/>
        <v>2</v>
      </c>
      <c r="AK101" s="1006">
        <v>2</v>
      </c>
      <c r="AL101" s="1007"/>
      <c r="AM101" s="1007"/>
      <c r="AN101" s="1007"/>
      <c r="AO101" s="1007"/>
      <c r="AP101" s="1008">
        <f t="shared" si="100"/>
        <v>0</v>
      </c>
      <c r="AQ101" s="1009"/>
    </row>
    <row r="102" spans="1:43" ht="20.25">
      <c r="A102" s="1150"/>
      <c r="B102" s="1171"/>
      <c r="C102" s="1161" t="s">
        <v>267</v>
      </c>
      <c r="D102" s="999">
        <v>12</v>
      </c>
      <c r="E102" s="1000"/>
      <c r="F102" s="659"/>
      <c r="G102" s="658">
        <f t="shared" si="71"/>
        <v>0</v>
      </c>
      <c r="H102" s="68"/>
      <c r="I102" s="654">
        <f t="shared" si="51"/>
        <v>0</v>
      </c>
      <c r="J102" s="659"/>
      <c r="K102" s="658">
        <f t="shared" si="76"/>
        <v>0</v>
      </c>
      <c r="L102" s="68"/>
      <c r="M102" s="654">
        <f t="shared" si="84"/>
        <v>0</v>
      </c>
      <c r="N102" s="659"/>
      <c r="O102" s="658">
        <f t="shared" si="85"/>
        <v>0</v>
      </c>
      <c r="P102" s="657">
        <v>1</v>
      </c>
      <c r="Q102" s="654">
        <f t="shared" si="86"/>
        <v>12</v>
      </c>
      <c r="R102" s="68"/>
      <c r="S102" s="654">
        <f t="shared" si="87"/>
        <v>0</v>
      </c>
      <c r="T102" s="68"/>
      <c r="U102" s="654">
        <f t="shared" si="88"/>
        <v>0</v>
      </c>
      <c r="V102" s="659"/>
      <c r="W102" s="658">
        <f t="shared" si="89"/>
        <v>0</v>
      </c>
      <c r="X102" s="68"/>
      <c r="Y102" s="654">
        <f t="shared" si="90"/>
        <v>0</v>
      </c>
      <c r="Z102" s="659"/>
      <c r="AA102" s="658">
        <f t="shared" si="91"/>
        <v>0</v>
      </c>
      <c r="AB102" s="68"/>
      <c r="AC102" s="654">
        <f t="shared" si="92"/>
        <v>0</v>
      </c>
      <c r="AD102" s="660"/>
      <c r="AE102" s="661"/>
      <c r="AF102" s="1151"/>
      <c r="AG102" s="662"/>
      <c r="AH102" s="1003"/>
      <c r="AI102" s="1004">
        <f t="shared" si="83"/>
        <v>12</v>
      </c>
      <c r="AJ102" s="1005">
        <f t="shared" si="99"/>
        <v>1</v>
      </c>
      <c r="AK102" s="1006"/>
      <c r="AL102" s="1007">
        <v>10</v>
      </c>
      <c r="AM102" s="1007">
        <v>6</v>
      </c>
      <c r="AN102" s="1007"/>
      <c r="AO102" s="1007"/>
      <c r="AP102" s="1008">
        <f t="shared" si="100"/>
        <v>3</v>
      </c>
      <c r="AQ102" s="1009"/>
    </row>
    <row r="103" spans="1:43" ht="20.25">
      <c r="A103" s="1150"/>
      <c r="B103" s="1171"/>
      <c r="C103" s="1161" t="s">
        <v>696</v>
      </c>
      <c r="D103" s="999">
        <v>15</v>
      </c>
      <c r="E103" s="1000"/>
      <c r="F103" s="659"/>
      <c r="G103" s="658">
        <f t="shared" si="71"/>
        <v>0</v>
      </c>
      <c r="H103" s="68"/>
      <c r="I103" s="654">
        <f t="shared" si="51"/>
        <v>0</v>
      </c>
      <c r="J103" s="659"/>
      <c r="K103" s="658">
        <f t="shared" si="76"/>
        <v>0</v>
      </c>
      <c r="L103" s="68"/>
      <c r="M103" s="654">
        <f t="shared" si="84"/>
        <v>0</v>
      </c>
      <c r="N103" s="659"/>
      <c r="O103" s="658">
        <f t="shared" si="85"/>
        <v>0</v>
      </c>
      <c r="P103" s="657"/>
      <c r="Q103" s="654">
        <f t="shared" si="86"/>
        <v>0</v>
      </c>
      <c r="R103" s="68"/>
      <c r="S103" s="654">
        <f t="shared" si="87"/>
        <v>0</v>
      </c>
      <c r="T103" s="68"/>
      <c r="U103" s="654">
        <f t="shared" si="88"/>
        <v>0</v>
      </c>
      <c r="V103" s="659"/>
      <c r="W103" s="658">
        <f t="shared" si="89"/>
        <v>0</v>
      </c>
      <c r="X103" s="68"/>
      <c r="Y103" s="654">
        <f t="shared" si="90"/>
        <v>0</v>
      </c>
      <c r="Z103" s="659"/>
      <c r="AA103" s="658">
        <f t="shared" si="91"/>
        <v>0</v>
      </c>
      <c r="AB103" s="68"/>
      <c r="AC103" s="654">
        <f t="shared" si="92"/>
        <v>0</v>
      </c>
      <c r="AD103" s="660"/>
      <c r="AE103" s="661"/>
      <c r="AF103" s="1151"/>
      <c r="AG103" s="662"/>
      <c r="AH103" s="1003"/>
      <c r="AI103" s="1004">
        <f t="shared" si="83"/>
        <v>0</v>
      </c>
      <c r="AJ103" s="1005">
        <f t="shared" si="99"/>
        <v>0</v>
      </c>
      <c r="AK103" s="1006">
        <v>5</v>
      </c>
      <c r="AL103" s="1007"/>
      <c r="AM103" s="1007">
        <v>1</v>
      </c>
      <c r="AN103" s="1007"/>
      <c r="AO103" s="1007"/>
      <c r="AP103" s="1008">
        <f t="shared" si="100"/>
        <v>4</v>
      </c>
      <c r="AQ103" s="1009"/>
    </row>
    <row r="104" spans="1:43" ht="20.25">
      <c r="A104" s="1150"/>
      <c r="B104" s="1171"/>
      <c r="C104" s="1161" t="s">
        <v>283</v>
      </c>
      <c r="D104" s="999">
        <v>1.2</v>
      </c>
      <c r="E104" s="1000"/>
      <c r="F104" s="659"/>
      <c r="G104" s="658">
        <f t="shared" si="71"/>
        <v>0</v>
      </c>
      <c r="H104" s="68"/>
      <c r="I104" s="654">
        <f t="shared" si="51"/>
        <v>0</v>
      </c>
      <c r="J104" s="659"/>
      <c r="K104" s="658">
        <f t="shared" si="76"/>
        <v>0</v>
      </c>
      <c r="L104" s="68"/>
      <c r="M104" s="654">
        <f t="shared" si="84"/>
        <v>0</v>
      </c>
      <c r="N104" s="659"/>
      <c r="O104" s="658">
        <f t="shared" si="85"/>
        <v>0</v>
      </c>
      <c r="P104" s="657"/>
      <c r="Q104" s="654">
        <f t="shared" si="86"/>
        <v>0</v>
      </c>
      <c r="R104" s="68"/>
      <c r="S104" s="654">
        <f t="shared" si="87"/>
        <v>0</v>
      </c>
      <c r="T104" s="68"/>
      <c r="U104" s="654">
        <f t="shared" si="88"/>
        <v>0</v>
      </c>
      <c r="V104" s="659"/>
      <c r="W104" s="658">
        <f t="shared" si="89"/>
        <v>0</v>
      </c>
      <c r="X104" s="68"/>
      <c r="Y104" s="654">
        <f t="shared" si="90"/>
        <v>0</v>
      </c>
      <c r="Z104" s="659"/>
      <c r="AA104" s="658">
        <f t="shared" si="91"/>
        <v>0</v>
      </c>
      <c r="AB104" s="68"/>
      <c r="AC104" s="654">
        <f t="shared" si="92"/>
        <v>0</v>
      </c>
      <c r="AD104" s="660"/>
      <c r="AE104" s="661"/>
      <c r="AF104" s="1151"/>
      <c r="AG104" s="662"/>
      <c r="AH104" s="1003"/>
      <c r="AI104" s="1004">
        <f t="shared" si="83"/>
        <v>0</v>
      </c>
      <c r="AJ104" s="1005">
        <f t="shared" si="99"/>
        <v>0</v>
      </c>
      <c r="AK104" s="1006">
        <v>0</v>
      </c>
      <c r="AL104" s="1007">
        <v>20</v>
      </c>
      <c r="AM104" s="1007">
        <v>10</v>
      </c>
      <c r="AN104" s="1007"/>
      <c r="AO104" s="1007"/>
      <c r="AP104" s="1008">
        <f t="shared" si="100"/>
        <v>10</v>
      </c>
      <c r="AQ104" s="1009"/>
    </row>
    <row r="105" spans="1:43" ht="20.25">
      <c r="A105" s="1150"/>
      <c r="B105" s="1171"/>
      <c r="C105" s="1161" t="s">
        <v>697</v>
      </c>
      <c r="D105" s="999">
        <v>1.2</v>
      </c>
      <c r="E105" s="1000"/>
      <c r="F105" s="659"/>
      <c r="G105" s="658">
        <f t="shared" si="71"/>
        <v>0</v>
      </c>
      <c r="H105" s="68"/>
      <c r="I105" s="654">
        <f t="shared" si="51"/>
        <v>0</v>
      </c>
      <c r="J105" s="659"/>
      <c r="K105" s="658">
        <f t="shared" si="76"/>
        <v>0</v>
      </c>
      <c r="L105" s="68"/>
      <c r="M105" s="654">
        <f t="shared" si="84"/>
        <v>0</v>
      </c>
      <c r="N105" s="659"/>
      <c r="O105" s="658">
        <f t="shared" si="85"/>
        <v>0</v>
      </c>
      <c r="P105" s="657"/>
      <c r="Q105" s="654">
        <f t="shared" si="86"/>
        <v>0</v>
      </c>
      <c r="R105" s="68"/>
      <c r="S105" s="654">
        <f t="shared" si="87"/>
        <v>0</v>
      </c>
      <c r="T105" s="68"/>
      <c r="U105" s="654">
        <f t="shared" si="88"/>
        <v>0</v>
      </c>
      <c r="V105" s="659"/>
      <c r="W105" s="658">
        <f t="shared" si="89"/>
        <v>0</v>
      </c>
      <c r="X105" s="68"/>
      <c r="Y105" s="654">
        <f t="shared" si="90"/>
        <v>0</v>
      </c>
      <c r="Z105" s="659"/>
      <c r="AA105" s="658">
        <f t="shared" si="91"/>
        <v>0</v>
      </c>
      <c r="AB105" s="68"/>
      <c r="AC105" s="654">
        <f t="shared" si="92"/>
        <v>0</v>
      </c>
      <c r="AD105" s="660"/>
      <c r="AE105" s="661"/>
      <c r="AF105" s="1151"/>
      <c r="AG105" s="662"/>
      <c r="AH105" s="1003"/>
      <c r="AI105" s="1004">
        <f t="shared" si="83"/>
        <v>0</v>
      </c>
      <c r="AJ105" s="1005">
        <f t="shared" si="99"/>
        <v>0</v>
      </c>
      <c r="AK105" s="1006">
        <v>0</v>
      </c>
      <c r="AL105" s="1007">
        <v>10</v>
      </c>
      <c r="AM105" s="1007">
        <v>5</v>
      </c>
      <c r="AN105" s="1007"/>
      <c r="AO105" s="1007"/>
      <c r="AP105" s="1008">
        <f t="shared" si="100"/>
        <v>5</v>
      </c>
      <c r="AQ105" s="1009"/>
    </row>
    <row r="106" spans="1:43" ht="20.25">
      <c r="A106" s="1150"/>
      <c r="B106" s="1171"/>
      <c r="C106" s="1161" t="s">
        <v>698</v>
      </c>
      <c r="D106" s="999">
        <v>1.2</v>
      </c>
      <c r="E106" s="1000"/>
      <c r="F106" s="659"/>
      <c r="G106" s="658">
        <f t="shared" si="71"/>
        <v>0</v>
      </c>
      <c r="H106" s="68"/>
      <c r="I106" s="654">
        <f t="shared" si="51"/>
        <v>0</v>
      </c>
      <c r="J106" s="659"/>
      <c r="K106" s="658">
        <f t="shared" si="76"/>
        <v>0</v>
      </c>
      <c r="L106" s="68"/>
      <c r="M106" s="654">
        <f t="shared" si="84"/>
        <v>0</v>
      </c>
      <c r="N106" s="659"/>
      <c r="O106" s="658">
        <f t="shared" si="85"/>
        <v>0</v>
      </c>
      <c r="P106" s="657"/>
      <c r="Q106" s="654">
        <f t="shared" si="86"/>
        <v>0</v>
      </c>
      <c r="R106" s="68"/>
      <c r="S106" s="654">
        <f t="shared" si="87"/>
        <v>0</v>
      </c>
      <c r="T106" s="68"/>
      <c r="U106" s="654">
        <f t="shared" si="88"/>
        <v>0</v>
      </c>
      <c r="V106" s="659"/>
      <c r="W106" s="658">
        <f t="shared" si="89"/>
        <v>0</v>
      </c>
      <c r="X106" s="68"/>
      <c r="Y106" s="654">
        <f t="shared" si="90"/>
        <v>0</v>
      </c>
      <c r="Z106" s="659"/>
      <c r="AA106" s="658">
        <f t="shared" si="91"/>
        <v>0</v>
      </c>
      <c r="AB106" s="68"/>
      <c r="AC106" s="654">
        <f t="shared" si="92"/>
        <v>0</v>
      </c>
      <c r="AD106" s="660"/>
      <c r="AE106" s="661"/>
      <c r="AF106" s="1151"/>
      <c r="AG106" s="662"/>
      <c r="AH106" s="1003"/>
      <c r="AI106" s="1004">
        <f t="shared" si="83"/>
        <v>0</v>
      </c>
      <c r="AJ106" s="1005">
        <f t="shared" si="99"/>
        <v>0</v>
      </c>
      <c r="AK106" s="1006">
        <v>0</v>
      </c>
      <c r="AL106" s="1007">
        <v>10</v>
      </c>
      <c r="AM106" s="1007">
        <v>5</v>
      </c>
      <c r="AN106" s="1007"/>
      <c r="AO106" s="1007"/>
      <c r="AP106" s="1008">
        <f t="shared" si="100"/>
        <v>5</v>
      </c>
      <c r="AQ106" s="1009"/>
    </row>
    <row r="107" spans="1:43" ht="20.25">
      <c r="A107" s="1150"/>
      <c r="B107" s="1171"/>
      <c r="C107" s="1161" t="s">
        <v>699</v>
      </c>
      <c r="D107" s="999">
        <v>7</v>
      </c>
      <c r="E107" s="1000"/>
      <c r="F107" s="659"/>
      <c r="G107" s="658">
        <f t="shared" si="71"/>
        <v>0</v>
      </c>
      <c r="H107" s="68"/>
      <c r="I107" s="654">
        <f t="shared" si="51"/>
        <v>0</v>
      </c>
      <c r="J107" s="659"/>
      <c r="K107" s="658">
        <f t="shared" si="76"/>
        <v>0</v>
      </c>
      <c r="L107" s="68"/>
      <c r="M107" s="654">
        <f t="shared" si="84"/>
        <v>0</v>
      </c>
      <c r="N107" s="659">
        <v>1</v>
      </c>
      <c r="O107" s="658">
        <f t="shared" si="85"/>
        <v>7</v>
      </c>
      <c r="P107" s="657"/>
      <c r="Q107" s="654">
        <f t="shared" si="86"/>
        <v>0</v>
      </c>
      <c r="R107" s="68"/>
      <c r="S107" s="654">
        <f t="shared" si="87"/>
        <v>0</v>
      </c>
      <c r="T107" s="68"/>
      <c r="U107" s="654">
        <f t="shared" si="88"/>
        <v>0</v>
      </c>
      <c r="V107" s="659"/>
      <c r="W107" s="658">
        <f t="shared" si="89"/>
        <v>0</v>
      </c>
      <c r="X107" s="68"/>
      <c r="Y107" s="654">
        <f t="shared" si="90"/>
        <v>0</v>
      </c>
      <c r="Z107" s="659"/>
      <c r="AA107" s="658">
        <f t="shared" si="91"/>
        <v>0</v>
      </c>
      <c r="AB107" s="68"/>
      <c r="AC107" s="654">
        <f t="shared" si="92"/>
        <v>0</v>
      </c>
      <c r="AD107" s="660"/>
      <c r="AE107" s="661"/>
      <c r="AF107" s="1151"/>
      <c r="AG107" s="662"/>
      <c r="AH107" s="1003"/>
      <c r="AI107" s="1004">
        <f t="shared" si="83"/>
        <v>7</v>
      </c>
      <c r="AJ107" s="1005">
        <f t="shared" si="99"/>
        <v>1</v>
      </c>
      <c r="AK107" s="1006">
        <v>5</v>
      </c>
      <c r="AL107" s="1007"/>
      <c r="AM107" s="1007"/>
      <c r="AN107" s="1007"/>
      <c r="AO107" s="1007"/>
      <c r="AP107" s="1008">
        <f t="shared" si="100"/>
        <v>4</v>
      </c>
      <c r="AQ107" s="1009"/>
    </row>
    <row r="108" spans="1:43" ht="20.25">
      <c r="A108" s="1150"/>
      <c r="B108" s="1171"/>
      <c r="C108" s="1161" t="s">
        <v>266</v>
      </c>
      <c r="D108" s="999">
        <v>9</v>
      </c>
      <c r="E108" s="1000"/>
      <c r="F108" s="659"/>
      <c r="G108" s="658">
        <f t="shared" si="71"/>
        <v>0</v>
      </c>
      <c r="H108" s="68"/>
      <c r="I108" s="654">
        <f t="shared" si="51"/>
        <v>0</v>
      </c>
      <c r="J108" s="659"/>
      <c r="K108" s="658">
        <f t="shared" si="76"/>
        <v>0</v>
      </c>
      <c r="L108" s="68"/>
      <c r="M108" s="654">
        <f t="shared" si="84"/>
        <v>0</v>
      </c>
      <c r="N108" s="659"/>
      <c r="O108" s="658">
        <f t="shared" si="85"/>
        <v>0</v>
      </c>
      <c r="P108" s="657"/>
      <c r="Q108" s="654">
        <f t="shared" si="86"/>
        <v>0</v>
      </c>
      <c r="R108" s="68"/>
      <c r="S108" s="654">
        <f t="shared" si="87"/>
        <v>0</v>
      </c>
      <c r="T108" s="68"/>
      <c r="U108" s="654">
        <f t="shared" si="88"/>
        <v>0</v>
      </c>
      <c r="V108" s="659"/>
      <c r="W108" s="658">
        <f t="shared" si="89"/>
        <v>0</v>
      </c>
      <c r="X108" s="68"/>
      <c r="Y108" s="654">
        <f t="shared" si="90"/>
        <v>0</v>
      </c>
      <c r="Z108" s="659"/>
      <c r="AA108" s="658">
        <f t="shared" si="91"/>
        <v>0</v>
      </c>
      <c r="AB108" s="68"/>
      <c r="AC108" s="654">
        <f t="shared" si="92"/>
        <v>0</v>
      </c>
      <c r="AD108" s="660"/>
      <c r="AE108" s="661"/>
      <c r="AF108" s="1151"/>
      <c r="AG108" s="662"/>
      <c r="AH108" s="1003"/>
      <c r="AI108" s="1004">
        <f t="shared" si="83"/>
        <v>0</v>
      </c>
      <c r="AJ108" s="1005">
        <f t="shared" si="99"/>
        <v>0</v>
      </c>
      <c r="AK108" s="1006">
        <v>2</v>
      </c>
      <c r="AL108" s="1007"/>
      <c r="AM108" s="1007"/>
      <c r="AN108" s="1007"/>
      <c r="AO108" s="1007"/>
      <c r="AP108" s="1008">
        <f t="shared" si="100"/>
        <v>2</v>
      </c>
      <c r="AQ108" s="1009"/>
    </row>
    <row r="109" spans="1:43" ht="20.25">
      <c r="A109" s="1150"/>
      <c r="B109" s="1171"/>
      <c r="C109" s="1161" t="s">
        <v>700</v>
      </c>
      <c r="D109" s="999">
        <v>8</v>
      </c>
      <c r="E109" s="1000"/>
      <c r="F109" s="659"/>
      <c r="G109" s="658">
        <f t="shared" si="71"/>
        <v>0</v>
      </c>
      <c r="H109" s="68"/>
      <c r="I109" s="654">
        <f t="shared" si="51"/>
        <v>0</v>
      </c>
      <c r="J109" s="659"/>
      <c r="K109" s="658">
        <f t="shared" si="76"/>
        <v>0</v>
      </c>
      <c r="L109" s="68"/>
      <c r="M109" s="654">
        <f t="shared" si="84"/>
        <v>0</v>
      </c>
      <c r="N109" s="659"/>
      <c r="O109" s="658">
        <f t="shared" si="85"/>
        <v>0</v>
      </c>
      <c r="P109" s="657"/>
      <c r="Q109" s="654">
        <f t="shared" si="86"/>
        <v>0</v>
      </c>
      <c r="R109" s="68"/>
      <c r="S109" s="654">
        <f t="shared" si="87"/>
        <v>0</v>
      </c>
      <c r="T109" s="68"/>
      <c r="U109" s="654">
        <f t="shared" si="88"/>
        <v>0</v>
      </c>
      <c r="V109" s="659"/>
      <c r="W109" s="658">
        <f t="shared" si="89"/>
        <v>0</v>
      </c>
      <c r="X109" s="68"/>
      <c r="Y109" s="654">
        <f t="shared" si="90"/>
        <v>0</v>
      </c>
      <c r="Z109" s="659"/>
      <c r="AA109" s="658">
        <f t="shared" si="91"/>
        <v>0</v>
      </c>
      <c r="AB109" s="68"/>
      <c r="AC109" s="654">
        <f t="shared" si="92"/>
        <v>0</v>
      </c>
      <c r="AD109" s="660"/>
      <c r="AE109" s="661"/>
      <c r="AF109" s="1151"/>
      <c r="AG109" s="662"/>
      <c r="AH109" s="1003"/>
      <c r="AI109" s="1004">
        <f t="shared" si="83"/>
        <v>0</v>
      </c>
      <c r="AJ109" s="1005">
        <f t="shared" si="99"/>
        <v>0</v>
      </c>
      <c r="AK109" s="1006">
        <v>0</v>
      </c>
      <c r="AL109" s="1007"/>
      <c r="AM109" s="1007"/>
      <c r="AN109" s="1007"/>
      <c r="AO109" s="1007"/>
      <c r="AP109" s="1008">
        <f t="shared" si="100"/>
        <v>0</v>
      </c>
      <c r="AQ109" s="1009"/>
    </row>
    <row r="110" spans="1:43" ht="20.25">
      <c r="A110" s="1150"/>
      <c r="B110" s="1171"/>
      <c r="C110" s="1172" t="s">
        <v>270</v>
      </c>
      <c r="D110" s="1032"/>
      <c r="E110" s="1033"/>
      <c r="F110" s="683"/>
      <c r="G110" s="682"/>
      <c r="H110" s="680"/>
      <c r="I110" s="677"/>
      <c r="J110" s="683"/>
      <c r="K110" s="682"/>
      <c r="L110" s="680"/>
      <c r="M110" s="677"/>
      <c r="N110" s="683"/>
      <c r="O110" s="682"/>
      <c r="P110" s="681"/>
      <c r="Q110" s="677"/>
      <c r="R110" s="680"/>
      <c r="S110" s="654"/>
      <c r="T110" s="680"/>
      <c r="U110" s="677"/>
      <c r="V110" s="683"/>
      <c r="W110" s="682"/>
      <c r="X110" s="680"/>
      <c r="Y110" s="677"/>
      <c r="Z110" s="683"/>
      <c r="AA110" s="682"/>
      <c r="AB110" s="680"/>
      <c r="AC110" s="677"/>
      <c r="AD110" s="684"/>
      <c r="AE110" s="685"/>
      <c r="AF110" s="1151"/>
      <c r="AG110" s="686"/>
      <c r="AH110" s="1055"/>
      <c r="AI110" s="1004"/>
      <c r="AJ110" s="1005">
        <f t="shared" si="99"/>
        <v>0</v>
      </c>
      <c r="AK110" s="1006">
        <v>0</v>
      </c>
      <c r="AL110" s="1007">
        <v>10</v>
      </c>
      <c r="AM110" s="1007">
        <v>10</v>
      </c>
      <c r="AN110" s="1007"/>
      <c r="AO110" s="1007"/>
      <c r="AP110" s="1008">
        <f t="shared" si="100"/>
        <v>0</v>
      </c>
      <c r="AQ110" s="1009"/>
    </row>
    <row r="111" spans="1:43" ht="20.25">
      <c r="A111" s="1150"/>
      <c r="B111" s="1171"/>
      <c r="C111" s="1172" t="s">
        <v>282</v>
      </c>
      <c r="D111" s="1032">
        <v>32</v>
      </c>
      <c r="E111" s="1033"/>
      <c r="F111" s="683"/>
      <c r="G111" s="682">
        <f aca="true" t="shared" si="101" ref="G111:G217">D111*F111</f>
        <v>0</v>
      </c>
      <c r="H111" s="680"/>
      <c r="I111" s="677">
        <f aca="true" t="shared" si="102" ref="I111:I203">H111*D111</f>
        <v>0</v>
      </c>
      <c r="J111" s="683"/>
      <c r="K111" s="682">
        <f aca="true" t="shared" si="103" ref="K111:K203">J111*D111</f>
        <v>0</v>
      </c>
      <c r="L111" s="680"/>
      <c r="M111" s="677">
        <f aca="true" t="shared" si="104" ref="M111:M123">L111*D111</f>
        <v>0</v>
      </c>
      <c r="N111" s="683"/>
      <c r="O111" s="682">
        <f aca="true" t="shared" si="105" ref="O111:O123">N111*D111</f>
        <v>0</v>
      </c>
      <c r="P111" s="681"/>
      <c r="Q111" s="677">
        <f aca="true" t="shared" si="106" ref="Q111:Q123">P111*D111</f>
        <v>0</v>
      </c>
      <c r="R111" s="680"/>
      <c r="S111" s="654">
        <f aca="true" t="shared" si="107" ref="S111:S123">R111*D111</f>
        <v>0</v>
      </c>
      <c r="T111" s="680"/>
      <c r="U111" s="677">
        <f aca="true" t="shared" si="108" ref="U111:U123">T111*D111</f>
        <v>0</v>
      </c>
      <c r="V111" s="683"/>
      <c r="W111" s="682">
        <f aca="true" t="shared" si="109" ref="W111:W123">V111*D111</f>
        <v>0</v>
      </c>
      <c r="X111" s="680"/>
      <c r="Y111" s="677">
        <f aca="true" t="shared" si="110" ref="Y111:Y123">X111*D111</f>
        <v>0</v>
      </c>
      <c r="Z111" s="683"/>
      <c r="AA111" s="682">
        <f aca="true" t="shared" si="111" ref="AA111:AA123">Z111*D111</f>
        <v>0</v>
      </c>
      <c r="AB111" s="680"/>
      <c r="AC111" s="677">
        <f aca="true" t="shared" si="112" ref="AC111:AC123">AB111*D111</f>
        <v>0</v>
      </c>
      <c r="AD111" s="684"/>
      <c r="AE111" s="685"/>
      <c r="AF111" s="1151"/>
      <c r="AG111" s="686"/>
      <c r="AH111" s="1055"/>
      <c r="AI111" s="1004">
        <f aca="true" t="shared" si="113" ref="AI111:AI184">SUM(AC111+AA111+Y111+W111+U111+S111+Q111+O111+M111+K111+I111+G111)</f>
        <v>0</v>
      </c>
      <c r="AJ111" s="1005">
        <f t="shared" si="99"/>
        <v>0</v>
      </c>
      <c r="AK111" s="1006">
        <v>5</v>
      </c>
      <c r="AL111" s="1007"/>
      <c r="AM111" s="1007">
        <v>2</v>
      </c>
      <c r="AN111" s="1007"/>
      <c r="AO111" s="1007"/>
      <c r="AP111" s="1008">
        <f t="shared" si="100"/>
        <v>3</v>
      </c>
      <c r="AQ111" s="1009"/>
    </row>
    <row r="112" spans="1:43" ht="20.25">
      <c r="A112" s="1150"/>
      <c r="B112" s="1171"/>
      <c r="C112" s="1172" t="s">
        <v>269</v>
      </c>
      <c r="D112" s="1032">
        <v>16</v>
      </c>
      <c r="E112" s="1033"/>
      <c r="F112" s="683"/>
      <c r="G112" s="682">
        <f t="shared" si="101"/>
        <v>0</v>
      </c>
      <c r="H112" s="680"/>
      <c r="I112" s="677">
        <f t="shared" si="102"/>
        <v>0</v>
      </c>
      <c r="J112" s="683"/>
      <c r="K112" s="682">
        <f t="shared" si="103"/>
        <v>0</v>
      </c>
      <c r="L112" s="680"/>
      <c r="M112" s="677">
        <f t="shared" si="104"/>
        <v>0</v>
      </c>
      <c r="N112" s="683">
        <v>1</v>
      </c>
      <c r="O112" s="682">
        <f t="shared" si="105"/>
        <v>16</v>
      </c>
      <c r="P112" s="681"/>
      <c r="Q112" s="677">
        <f t="shared" si="106"/>
        <v>0</v>
      </c>
      <c r="R112" s="680"/>
      <c r="S112" s="654">
        <f t="shared" si="107"/>
        <v>0</v>
      </c>
      <c r="T112" s="680"/>
      <c r="U112" s="677">
        <f t="shared" si="108"/>
        <v>0</v>
      </c>
      <c r="V112" s="683"/>
      <c r="W112" s="682">
        <f t="shared" si="109"/>
        <v>0</v>
      </c>
      <c r="X112" s="680"/>
      <c r="Y112" s="677">
        <f t="shared" si="110"/>
        <v>0</v>
      </c>
      <c r="Z112" s="683"/>
      <c r="AA112" s="682">
        <f t="shared" si="111"/>
        <v>0</v>
      </c>
      <c r="AB112" s="680"/>
      <c r="AC112" s="677">
        <f t="shared" si="112"/>
        <v>0</v>
      </c>
      <c r="AD112" s="684"/>
      <c r="AE112" s="685"/>
      <c r="AF112" s="1151"/>
      <c r="AG112" s="686"/>
      <c r="AH112" s="1055"/>
      <c r="AI112" s="1004">
        <f t="shared" si="113"/>
        <v>16</v>
      </c>
      <c r="AJ112" s="1005">
        <f t="shared" si="99"/>
        <v>1</v>
      </c>
      <c r="AK112" s="1006">
        <v>4</v>
      </c>
      <c r="AL112" s="1007"/>
      <c r="AM112" s="1007"/>
      <c r="AN112" s="1007"/>
      <c r="AO112" s="1007"/>
      <c r="AP112" s="1008">
        <f t="shared" si="100"/>
        <v>3</v>
      </c>
      <c r="AQ112" s="1009"/>
    </row>
    <row r="113" spans="1:43" ht="20.25">
      <c r="A113" s="1150"/>
      <c r="B113" s="1171"/>
      <c r="C113" s="1172" t="s">
        <v>701</v>
      </c>
      <c r="D113" s="1032">
        <v>5</v>
      </c>
      <c r="E113" s="1033"/>
      <c r="F113" s="683">
        <v>1</v>
      </c>
      <c r="G113" s="682">
        <f t="shared" si="101"/>
        <v>5</v>
      </c>
      <c r="H113" s="680"/>
      <c r="I113" s="677">
        <f t="shared" si="102"/>
        <v>0</v>
      </c>
      <c r="J113" s="683"/>
      <c r="K113" s="682">
        <f t="shared" si="103"/>
        <v>0</v>
      </c>
      <c r="L113" s="680"/>
      <c r="M113" s="677">
        <f t="shared" si="104"/>
        <v>0</v>
      </c>
      <c r="N113" s="683">
        <v>1</v>
      </c>
      <c r="O113" s="682">
        <f t="shared" si="105"/>
        <v>5</v>
      </c>
      <c r="P113" s="681"/>
      <c r="Q113" s="677">
        <f t="shared" si="106"/>
        <v>0</v>
      </c>
      <c r="R113" s="680"/>
      <c r="S113" s="654">
        <f t="shared" si="107"/>
        <v>0</v>
      </c>
      <c r="T113" s="680"/>
      <c r="U113" s="677">
        <f t="shared" si="108"/>
        <v>0</v>
      </c>
      <c r="V113" s="683"/>
      <c r="W113" s="682">
        <f t="shared" si="109"/>
        <v>0</v>
      </c>
      <c r="X113" s="680"/>
      <c r="Y113" s="677">
        <f t="shared" si="110"/>
        <v>0</v>
      </c>
      <c r="Z113" s="683"/>
      <c r="AA113" s="682">
        <f t="shared" si="111"/>
        <v>0</v>
      </c>
      <c r="AB113" s="680"/>
      <c r="AC113" s="677">
        <f t="shared" si="112"/>
        <v>0</v>
      </c>
      <c r="AD113" s="684"/>
      <c r="AE113" s="685"/>
      <c r="AF113" s="1151"/>
      <c r="AG113" s="686"/>
      <c r="AH113" s="1055"/>
      <c r="AI113" s="1004">
        <f t="shared" si="113"/>
        <v>10</v>
      </c>
      <c r="AJ113" s="1005">
        <f t="shared" si="99"/>
        <v>2</v>
      </c>
      <c r="AK113" s="1006">
        <v>14</v>
      </c>
      <c r="AL113" s="1007">
        <v>15</v>
      </c>
      <c r="AM113" s="1007"/>
      <c r="AN113" s="1007"/>
      <c r="AO113" s="1007"/>
      <c r="AP113" s="1008">
        <f t="shared" si="100"/>
        <v>27</v>
      </c>
      <c r="AQ113" s="1009"/>
    </row>
    <row r="114" spans="1:43" ht="20.25">
      <c r="A114" s="1150"/>
      <c r="B114" s="1171"/>
      <c r="C114" s="1152" t="s">
        <v>555</v>
      </c>
      <c r="D114" s="1011">
        <v>3</v>
      </c>
      <c r="E114" s="1012"/>
      <c r="F114" s="706"/>
      <c r="G114" s="682">
        <f t="shared" si="101"/>
        <v>0</v>
      </c>
      <c r="H114" s="703"/>
      <c r="I114" s="700">
        <f t="shared" si="102"/>
        <v>0</v>
      </c>
      <c r="J114" s="706"/>
      <c r="K114" s="705">
        <f t="shared" si="103"/>
        <v>0</v>
      </c>
      <c r="L114" s="703"/>
      <c r="M114" s="700">
        <f t="shared" si="104"/>
        <v>0</v>
      </c>
      <c r="N114" s="706"/>
      <c r="O114" s="705">
        <f t="shared" si="105"/>
        <v>0</v>
      </c>
      <c r="P114" s="704"/>
      <c r="Q114" s="700">
        <f t="shared" si="106"/>
        <v>0</v>
      </c>
      <c r="R114" s="703"/>
      <c r="S114" s="700">
        <f t="shared" si="107"/>
        <v>0</v>
      </c>
      <c r="T114" s="703"/>
      <c r="U114" s="700">
        <f t="shared" si="108"/>
        <v>0</v>
      </c>
      <c r="V114" s="706"/>
      <c r="W114" s="705">
        <f t="shared" si="109"/>
        <v>0</v>
      </c>
      <c r="X114" s="703"/>
      <c r="Y114" s="700">
        <f t="shared" si="110"/>
        <v>0</v>
      </c>
      <c r="Z114" s="706"/>
      <c r="AA114" s="705">
        <f t="shared" si="111"/>
        <v>0</v>
      </c>
      <c r="AB114" s="703"/>
      <c r="AC114" s="700">
        <f t="shared" si="112"/>
        <v>0</v>
      </c>
      <c r="AD114" s="707">
        <f>'[1]Commande Souvenirs, librairie'!F30</f>
        <v>1.8</v>
      </c>
      <c r="AE114" s="708"/>
      <c r="AF114" s="1151"/>
      <c r="AG114" s="709">
        <f aca="true" t="shared" si="114" ref="AG114:AG161">D114-AD114</f>
        <v>1.2</v>
      </c>
      <c r="AH114" s="1024">
        <f aca="true" t="shared" si="115" ref="AH114:AH176">AG114*AJ114</f>
        <v>0</v>
      </c>
      <c r="AI114" s="1004">
        <f t="shared" si="113"/>
        <v>0</v>
      </c>
      <c r="AJ114" s="1005">
        <f t="shared" si="99"/>
        <v>0</v>
      </c>
      <c r="AK114" s="1006">
        <v>0</v>
      </c>
      <c r="AL114" s="1007"/>
      <c r="AM114" s="1007"/>
      <c r="AN114" s="1007"/>
      <c r="AO114" s="1007"/>
      <c r="AP114" s="1008">
        <f t="shared" si="100"/>
        <v>0</v>
      </c>
      <c r="AQ114" s="1009"/>
    </row>
    <row r="115" spans="1:43" ht="20.25" customHeight="1">
      <c r="A115" s="1150"/>
      <c r="B115" s="984" t="s">
        <v>702</v>
      </c>
      <c r="C115" s="1156" t="s">
        <v>703</v>
      </c>
      <c r="D115" s="986">
        <v>21</v>
      </c>
      <c r="E115" s="987"/>
      <c r="F115" s="637"/>
      <c r="G115" s="636">
        <f t="shared" si="101"/>
        <v>0</v>
      </c>
      <c r="H115" s="634"/>
      <c r="I115" s="631">
        <f t="shared" si="102"/>
        <v>0</v>
      </c>
      <c r="J115" s="637"/>
      <c r="K115" s="636">
        <f t="shared" si="103"/>
        <v>0</v>
      </c>
      <c r="L115" s="634"/>
      <c r="M115" s="631">
        <f t="shared" si="104"/>
        <v>0</v>
      </c>
      <c r="N115" s="637"/>
      <c r="O115" s="636">
        <f t="shared" si="105"/>
        <v>0</v>
      </c>
      <c r="P115" s="635">
        <v>1</v>
      </c>
      <c r="Q115" s="631">
        <f t="shared" si="106"/>
        <v>21</v>
      </c>
      <c r="R115" s="634"/>
      <c r="S115" s="631">
        <f t="shared" si="107"/>
        <v>0</v>
      </c>
      <c r="T115" s="634"/>
      <c r="U115" s="631">
        <f t="shared" si="108"/>
        <v>0</v>
      </c>
      <c r="V115" s="637"/>
      <c r="W115" s="636">
        <f t="shared" si="109"/>
        <v>0</v>
      </c>
      <c r="X115" s="634"/>
      <c r="Y115" s="631">
        <f t="shared" si="110"/>
        <v>0</v>
      </c>
      <c r="Z115" s="637"/>
      <c r="AA115" s="636">
        <f t="shared" si="111"/>
        <v>0</v>
      </c>
      <c r="AB115" s="634"/>
      <c r="AC115" s="631">
        <f t="shared" si="112"/>
        <v>0</v>
      </c>
      <c r="AD115" s="638">
        <f>'[1]Commande Souvenirs, librairie'!F74</f>
        <v>16.919999999999998</v>
      </c>
      <c r="AE115" s="639"/>
      <c r="AF115" s="1151"/>
      <c r="AG115" s="641">
        <f t="shared" si="114"/>
        <v>4.080000000000002</v>
      </c>
      <c r="AH115" s="1025">
        <f t="shared" si="115"/>
        <v>4.080000000000002</v>
      </c>
      <c r="AI115" s="1004">
        <f t="shared" si="113"/>
        <v>21</v>
      </c>
      <c r="AJ115" s="1005">
        <f t="shared" si="99"/>
        <v>1</v>
      </c>
      <c r="AK115" s="1006">
        <v>8</v>
      </c>
      <c r="AL115" s="1007"/>
      <c r="AM115" s="1007"/>
      <c r="AN115" s="1007"/>
      <c r="AO115" s="1007"/>
      <c r="AP115" s="1008">
        <f t="shared" si="100"/>
        <v>7</v>
      </c>
      <c r="AQ115" s="1009"/>
    </row>
    <row r="116" spans="1:43" ht="20.25">
      <c r="A116" s="1150"/>
      <c r="B116" s="984"/>
      <c r="C116" s="1159" t="s">
        <v>704</v>
      </c>
      <c r="D116" s="999">
        <v>21</v>
      </c>
      <c r="E116" s="1000"/>
      <c r="F116" s="659"/>
      <c r="G116" s="658">
        <f t="shared" si="101"/>
        <v>0</v>
      </c>
      <c r="H116" s="68"/>
      <c r="I116" s="654">
        <f t="shared" si="102"/>
        <v>0</v>
      </c>
      <c r="J116" s="659"/>
      <c r="K116" s="658">
        <f t="shared" si="103"/>
        <v>0</v>
      </c>
      <c r="L116" s="68"/>
      <c r="M116" s="654">
        <f t="shared" si="104"/>
        <v>0</v>
      </c>
      <c r="N116" s="659"/>
      <c r="O116" s="658">
        <f t="shared" si="105"/>
        <v>0</v>
      </c>
      <c r="P116" s="657"/>
      <c r="Q116" s="654">
        <f t="shared" si="106"/>
        <v>0</v>
      </c>
      <c r="R116" s="68"/>
      <c r="S116" s="654">
        <f t="shared" si="107"/>
        <v>0</v>
      </c>
      <c r="T116" s="68"/>
      <c r="U116" s="654">
        <f t="shared" si="108"/>
        <v>0</v>
      </c>
      <c r="V116" s="659"/>
      <c r="W116" s="658">
        <f t="shared" si="109"/>
        <v>0</v>
      </c>
      <c r="X116" s="68"/>
      <c r="Y116" s="654">
        <f t="shared" si="110"/>
        <v>0</v>
      </c>
      <c r="Z116" s="659"/>
      <c r="AA116" s="658">
        <f t="shared" si="111"/>
        <v>0</v>
      </c>
      <c r="AB116" s="68"/>
      <c r="AC116" s="654">
        <f t="shared" si="112"/>
        <v>0</v>
      </c>
      <c r="AD116" s="660">
        <f>'[1]Commande Souvenirs, librairie'!F73</f>
        <v>16.919999999999998</v>
      </c>
      <c r="AE116" s="661"/>
      <c r="AF116" s="1151"/>
      <c r="AG116" s="662">
        <f t="shared" si="114"/>
        <v>4.080000000000002</v>
      </c>
      <c r="AH116" s="1003">
        <f t="shared" si="115"/>
        <v>0</v>
      </c>
      <c r="AI116" s="1004">
        <f t="shared" si="113"/>
        <v>0</v>
      </c>
      <c r="AJ116" s="1005">
        <f t="shared" si="99"/>
        <v>0</v>
      </c>
      <c r="AK116" s="1006">
        <f>15+6</f>
        <v>21</v>
      </c>
      <c r="AL116" s="1007"/>
      <c r="AM116" s="1007"/>
      <c r="AN116" s="1007"/>
      <c r="AO116" s="1007"/>
      <c r="AP116" s="1008">
        <f t="shared" si="100"/>
        <v>21</v>
      </c>
      <c r="AQ116" s="1009"/>
    </row>
    <row r="117" spans="1:43" ht="20.25">
      <c r="A117" s="1150"/>
      <c r="B117" s="984"/>
      <c r="C117" s="1159" t="s">
        <v>705</v>
      </c>
      <c r="D117" s="999">
        <v>15</v>
      </c>
      <c r="E117" s="1000"/>
      <c r="F117" s="659"/>
      <c r="G117" s="658">
        <f t="shared" si="101"/>
        <v>0</v>
      </c>
      <c r="H117" s="68"/>
      <c r="I117" s="654">
        <f t="shared" si="102"/>
        <v>0</v>
      </c>
      <c r="J117" s="659"/>
      <c r="K117" s="658">
        <f t="shared" si="103"/>
        <v>0</v>
      </c>
      <c r="L117" s="68"/>
      <c r="M117" s="654">
        <f t="shared" si="104"/>
        <v>0</v>
      </c>
      <c r="N117" s="659"/>
      <c r="O117" s="658">
        <f t="shared" si="105"/>
        <v>0</v>
      </c>
      <c r="P117" s="657"/>
      <c r="Q117" s="654">
        <f t="shared" si="106"/>
        <v>0</v>
      </c>
      <c r="R117" s="68"/>
      <c r="S117" s="654">
        <f t="shared" si="107"/>
        <v>0</v>
      </c>
      <c r="T117" s="68"/>
      <c r="U117" s="654">
        <f t="shared" si="108"/>
        <v>0</v>
      </c>
      <c r="V117" s="659"/>
      <c r="W117" s="658">
        <f t="shared" si="109"/>
        <v>0</v>
      </c>
      <c r="X117" s="68"/>
      <c r="Y117" s="654">
        <f t="shared" si="110"/>
        <v>0</v>
      </c>
      <c r="Z117" s="659"/>
      <c r="AA117" s="658">
        <f t="shared" si="111"/>
        <v>0</v>
      </c>
      <c r="AB117" s="68"/>
      <c r="AC117" s="654">
        <f t="shared" si="112"/>
        <v>0</v>
      </c>
      <c r="AD117" s="660">
        <f>'[1]Commande Souvenirs, librairie'!F72</f>
        <v>12</v>
      </c>
      <c r="AE117" s="661"/>
      <c r="AF117" s="1151"/>
      <c r="AG117" s="662">
        <f t="shared" si="114"/>
        <v>3</v>
      </c>
      <c r="AH117" s="1003">
        <f t="shared" si="115"/>
        <v>0</v>
      </c>
      <c r="AI117" s="1004">
        <f t="shared" si="113"/>
        <v>0</v>
      </c>
      <c r="AJ117" s="1005">
        <f t="shared" si="99"/>
        <v>0</v>
      </c>
      <c r="AK117" s="1006">
        <v>1</v>
      </c>
      <c r="AL117" s="1007"/>
      <c r="AM117" s="1007"/>
      <c r="AN117" s="1007"/>
      <c r="AO117" s="1007"/>
      <c r="AP117" s="1008">
        <f t="shared" si="100"/>
        <v>1</v>
      </c>
      <c r="AQ117" s="1009"/>
    </row>
    <row r="118" spans="1:43" ht="20.25">
      <c r="A118" s="1150"/>
      <c r="B118" s="984"/>
      <c r="C118" s="1159" t="s">
        <v>706</v>
      </c>
      <c r="D118" s="999">
        <v>5</v>
      </c>
      <c r="E118" s="1000"/>
      <c r="F118" s="659"/>
      <c r="G118" s="658">
        <f t="shared" si="101"/>
        <v>0</v>
      </c>
      <c r="H118" s="68"/>
      <c r="I118" s="654">
        <f t="shared" si="102"/>
        <v>0</v>
      </c>
      <c r="J118" s="659"/>
      <c r="K118" s="658">
        <f t="shared" si="103"/>
        <v>0</v>
      </c>
      <c r="L118" s="68"/>
      <c r="M118" s="654">
        <f t="shared" si="104"/>
        <v>0</v>
      </c>
      <c r="N118" s="659"/>
      <c r="O118" s="658">
        <f t="shared" si="105"/>
        <v>0</v>
      </c>
      <c r="P118" s="657"/>
      <c r="Q118" s="654">
        <f t="shared" si="106"/>
        <v>0</v>
      </c>
      <c r="R118" s="68"/>
      <c r="S118" s="654">
        <f t="shared" si="107"/>
        <v>0</v>
      </c>
      <c r="T118" s="68"/>
      <c r="U118" s="654">
        <f t="shared" si="108"/>
        <v>0</v>
      </c>
      <c r="V118" s="659"/>
      <c r="W118" s="658">
        <f t="shared" si="109"/>
        <v>0</v>
      </c>
      <c r="X118" s="68"/>
      <c r="Y118" s="654">
        <f t="shared" si="110"/>
        <v>0</v>
      </c>
      <c r="Z118" s="659"/>
      <c r="AA118" s="658">
        <f t="shared" si="111"/>
        <v>0</v>
      </c>
      <c r="AB118" s="68"/>
      <c r="AC118" s="654">
        <f t="shared" si="112"/>
        <v>0</v>
      </c>
      <c r="AD118" s="660">
        <f>'[1]Commande Souvenirs, librairie'!F70</f>
        <v>5</v>
      </c>
      <c r="AE118" s="661"/>
      <c r="AF118" s="1151"/>
      <c r="AG118" s="662">
        <f t="shared" si="114"/>
        <v>0</v>
      </c>
      <c r="AH118" s="1003">
        <f t="shared" si="115"/>
        <v>0</v>
      </c>
      <c r="AI118" s="1004">
        <f t="shared" si="113"/>
        <v>0</v>
      </c>
      <c r="AJ118" s="1005">
        <f t="shared" si="99"/>
        <v>0</v>
      </c>
      <c r="AK118" s="1006">
        <v>10</v>
      </c>
      <c r="AL118" s="1007"/>
      <c r="AM118" s="1007"/>
      <c r="AN118" s="1007"/>
      <c r="AO118" s="1007"/>
      <c r="AP118" s="1008">
        <f t="shared" si="100"/>
        <v>10</v>
      </c>
      <c r="AQ118" s="1009"/>
    </row>
    <row r="119" spans="1:43" ht="20.25">
      <c r="A119" s="1150"/>
      <c r="B119" s="984"/>
      <c r="C119" s="1159" t="s">
        <v>261</v>
      </c>
      <c r="D119" s="999">
        <v>3.5</v>
      </c>
      <c r="E119" s="1000"/>
      <c r="F119" s="659"/>
      <c r="G119" s="658">
        <f t="shared" si="101"/>
        <v>0</v>
      </c>
      <c r="H119" s="68"/>
      <c r="I119" s="654">
        <f t="shared" si="102"/>
        <v>0</v>
      </c>
      <c r="J119" s="659"/>
      <c r="K119" s="658">
        <f t="shared" si="103"/>
        <v>0</v>
      </c>
      <c r="L119" s="68"/>
      <c r="M119" s="654">
        <f t="shared" si="104"/>
        <v>0</v>
      </c>
      <c r="N119" s="659"/>
      <c r="O119" s="658">
        <f t="shared" si="105"/>
        <v>0</v>
      </c>
      <c r="P119" s="657"/>
      <c r="Q119" s="654">
        <f t="shared" si="106"/>
        <v>0</v>
      </c>
      <c r="R119" s="68"/>
      <c r="S119" s="654">
        <f t="shared" si="107"/>
        <v>0</v>
      </c>
      <c r="T119" s="68"/>
      <c r="U119" s="654">
        <f t="shared" si="108"/>
        <v>0</v>
      </c>
      <c r="V119" s="659"/>
      <c r="W119" s="658">
        <f t="shared" si="109"/>
        <v>0</v>
      </c>
      <c r="X119" s="68"/>
      <c r="Y119" s="654">
        <f t="shared" si="110"/>
        <v>0</v>
      </c>
      <c r="Z119" s="659"/>
      <c r="AA119" s="658">
        <f t="shared" si="111"/>
        <v>0</v>
      </c>
      <c r="AB119" s="68"/>
      <c r="AC119" s="654">
        <f t="shared" si="112"/>
        <v>0</v>
      </c>
      <c r="AD119" s="660">
        <f>'[1]Commande Souvenirs, librairie'!F76</f>
        <v>2.52</v>
      </c>
      <c r="AE119" s="661"/>
      <c r="AF119" s="1151"/>
      <c r="AG119" s="662">
        <f t="shared" si="114"/>
        <v>0.98</v>
      </c>
      <c r="AH119" s="1003">
        <f t="shared" si="115"/>
        <v>0</v>
      </c>
      <c r="AI119" s="1004">
        <f t="shared" si="113"/>
        <v>0</v>
      </c>
      <c r="AJ119" s="1005">
        <f t="shared" si="99"/>
        <v>0</v>
      </c>
      <c r="AK119" s="1006">
        <v>27</v>
      </c>
      <c r="AL119" s="1007"/>
      <c r="AM119" s="1007">
        <v>10</v>
      </c>
      <c r="AN119" s="1007"/>
      <c r="AO119" s="1007"/>
      <c r="AP119" s="1008">
        <f t="shared" si="100"/>
        <v>17</v>
      </c>
      <c r="AQ119" s="1009"/>
    </row>
    <row r="120" spans="1:43" ht="20.25">
      <c r="A120" s="1150"/>
      <c r="B120" s="984"/>
      <c r="C120" s="1159" t="s">
        <v>338</v>
      </c>
      <c r="D120" s="999">
        <v>4.5</v>
      </c>
      <c r="E120" s="1000"/>
      <c r="F120" s="659"/>
      <c r="G120" s="658">
        <f t="shared" si="101"/>
        <v>0</v>
      </c>
      <c r="H120" s="68">
        <v>2</v>
      </c>
      <c r="I120" s="654">
        <f t="shared" si="102"/>
        <v>9</v>
      </c>
      <c r="J120" s="659"/>
      <c r="K120" s="658">
        <f t="shared" si="103"/>
        <v>0</v>
      </c>
      <c r="L120" s="68"/>
      <c r="M120" s="654">
        <f t="shared" si="104"/>
        <v>0</v>
      </c>
      <c r="N120" s="659"/>
      <c r="O120" s="658">
        <f t="shared" si="105"/>
        <v>0</v>
      </c>
      <c r="P120" s="657"/>
      <c r="Q120" s="654">
        <f t="shared" si="106"/>
        <v>0</v>
      </c>
      <c r="R120" s="68"/>
      <c r="S120" s="654">
        <f t="shared" si="107"/>
        <v>0</v>
      </c>
      <c r="T120" s="68"/>
      <c r="U120" s="654">
        <f t="shared" si="108"/>
        <v>0</v>
      </c>
      <c r="V120" s="659"/>
      <c r="W120" s="658">
        <f t="shared" si="109"/>
        <v>0</v>
      </c>
      <c r="X120" s="68"/>
      <c r="Y120" s="654">
        <f t="shared" si="110"/>
        <v>0</v>
      </c>
      <c r="Z120" s="659"/>
      <c r="AA120" s="658">
        <f t="shared" si="111"/>
        <v>0</v>
      </c>
      <c r="AB120" s="68"/>
      <c r="AC120" s="654">
        <f t="shared" si="112"/>
        <v>0</v>
      </c>
      <c r="AD120" s="660">
        <f>'[1]Commande Souvenirs, librairie'!F75</f>
        <v>3.6</v>
      </c>
      <c r="AE120" s="661"/>
      <c r="AF120" s="1151"/>
      <c r="AG120" s="662">
        <f t="shared" si="114"/>
        <v>0.8999999999999999</v>
      </c>
      <c r="AH120" s="1003">
        <f t="shared" si="115"/>
        <v>1.7999999999999998</v>
      </c>
      <c r="AI120" s="1004">
        <f t="shared" si="113"/>
        <v>9</v>
      </c>
      <c r="AJ120" s="1005">
        <f t="shared" si="99"/>
        <v>2</v>
      </c>
      <c r="AK120" s="1006">
        <v>19</v>
      </c>
      <c r="AL120" s="1007"/>
      <c r="AM120" s="1007">
        <v>17</v>
      </c>
      <c r="AN120" s="1007"/>
      <c r="AO120" s="1007"/>
      <c r="AP120" s="1008">
        <f t="shared" si="100"/>
        <v>0</v>
      </c>
      <c r="AQ120" s="1009"/>
    </row>
    <row r="121" spans="1:43" ht="20.25">
      <c r="A121" s="1150"/>
      <c r="B121" s="984"/>
      <c r="C121" s="1159" t="s">
        <v>342</v>
      </c>
      <c r="D121" s="999">
        <v>10</v>
      </c>
      <c r="E121" s="1000"/>
      <c r="F121" s="659"/>
      <c r="G121" s="658">
        <f t="shared" si="101"/>
        <v>0</v>
      </c>
      <c r="H121" s="68"/>
      <c r="I121" s="654">
        <f t="shared" si="102"/>
        <v>0</v>
      </c>
      <c r="J121" s="659"/>
      <c r="K121" s="658">
        <f t="shared" si="103"/>
        <v>0</v>
      </c>
      <c r="L121" s="68"/>
      <c r="M121" s="654">
        <f t="shared" si="104"/>
        <v>0</v>
      </c>
      <c r="N121" s="659"/>
      <c r="O121" s="658">
        <f t="shared" si="105"/>
        <v>0</v>
      </c>
      <c r="P121" s="657">
        <v>1</v>
      </c>
      <c r="Q121" s="654">
        <f t="shared" si="106"/>
        <v>10</v>
      </c>
      <c r="R121" s="68"/>
      <c r="S121" s="654">
        <f t="shared" si="107"/>
        <v>0</v>
      </c>
      <c r="T121" s="68"/>
      <c r="U121" s="654">
        <f t="shared" si="108"/>
        <v>0</v>
      </c>
      <c r="V121" s="659"/>
      <c r="W121" s="658">
        <f t="shared" si="109"/>
        <v>0</v>
      </c>
      <c r="X121" s="68"/>
      <c r="Y121" s="654">
        <f t="shared" si="110"/>
        <v>0</v>
      </c>
      <c r="Z121" s="659"/>
      <c r="AA121" s="658">
        <f t="shared" si="111"/>
        <v>0</v>
      </c>
      <c r="AB121" s="68"/>
      <c r="AC121" s="654">
        <f t="shared" si="112"/>
        <v>0</v>
      </c>
      <c r="AD121" s="660">
        <f>'[1]Commande Souvenirs, librairie'!F80</f>
        <v>7.02</v>
      </c>
      <c r="AE121" s="661"/>
      <c r="AF121" s="1151"/>
      <c r="AG121" s="662">
        <f t="shared" si="114"/>
        <v>2.9800000000000004</v>
      </c>
      <c r="AH121" s="1003">
        <f t="shared" si="115"/>
        <v>2.9800000000000004</v>
      </c>
      <c r="AI121" s="1004">
        <f t="shared" si="113"/>
        <v>10</v>
      </c>
      <c r="AJ121" s="1005">
        <f t="shared" si="99"/>
        <v>1</v>
      </c>
      <c r="AK121" s="1006">
        <v>24</v>
      </c>
      <c r="AL121" s="1007"/>
      <c r="AM121" s="1007">
        <v>18</v>
      </c>
      <c r="AN121" s="1007"/>
      <c r="AO121" s="1007"/>
      <c r="AP121" s="1008">
        <f t="shared" si="100"/>
        <v>5</v>
      </c>
      <c r="AQ121" s="1009"/>
    </row>
    <row r="122" spans="1:43" ht="20.25">
      <c r="A122" s="1150"/>
      <c r="B122" s="984"/>
      <c r="C122" s="1159" t="s">
        <v>340</v>
      </c>
      <c r="D122" s="999">
        <v>12.5</v>
      </c>
      <c r="E122" s="1000"/>
      <c r="F122" s="659"/>
      <c r="G122" s="658">
        <f t="shared" si="101"/>
        <v>0</v>
      </c>
      <c r="H122" s="68"/>
      <c r="I122" s="654">
        <f t="shared" si="102"/>
        <v>0</v>
      </c>
      <c r="J122" s="659"/>
      <c r="K122" s="658">
        <f t="shared" si="103"/>
        <v>0</v>
      </c>
      <c r="L122" s="68">
        <v>1</v>
      </c>
      <c r="M122" s="654">
        <f t="shared" si="104"/>
        <v>12.5</v>
      </c>
      <c r="N122" s="659"/>
      <c r="O122" s="658">
        <f t="shared" si="105"/>
        <v>0</v>
      </c>
      <c r="P122" s="657"/>
      <c r="Q122" s="654">
        <f t="shared" si="106"/>
        <v>0</v>
      </c>
      <c r="R122" s="68"/>
      <c r="S122" s="654">
        <f t="shared" si="107"/>
        <v>0</v>
      </c>
      <c r="T122" s="68"/>
      <c r="U122" s="654">
        <f t="shared" si="108"/>
        <v>0</v>
      </c>
      <c r="V122" s="659"/>
      <c r="W122" s="658">
        <f t="shared" si="109"/>
        <v>0</v>
      </c>
      <c r="X122" s="68"/>
      <c r="Y122" s="654">
        <f t="shared" si="110"/>
        <v>0</v>
      </c>
      <c r="Z122" s="659"/>
      <c r="AA122" s="658">
        <f t="shared" si="111"/>
        <v>0</v>
      </c>
      <c r="AB122" s="68"/>
      <c r="AC122" s="654">
        <f t="shared" si="112"/>
        <v>0</v>
      </c>
      <c r="AD122" s="660">
        <f>'[1]Commande Souvenirs, librairie'!F77</f>
        <v>9.996</v>
      </c>
      <c r="AE122" s="661"/>
      <c r="AF122" s="1151"/>
      <c r="AG122" s="662">
        <f t="shared" si="114"/>
        <v>2.5039999999999996</v>
      </c>
      <c r="AH122" s="1003">
        <f t="shared" si="115"/>
        <v>2.5039999999999996</v>
      </c>
      <c r="AI122" s="1004">
        <f t="shared" si="113"/>
        <v>12.5</v>
      </c>
      <c r="AJ122" s="1005">
        <f t="shared" si="99"/>
        <v>1</v>
      </c>
      <c r="AK122" s="1006">
        <v>7</v>
      </c>
      <c r="AL122" s="1007"/>
      <c r="AM122" s="1007">
        <v>4</v>
      </c>
      <c r="AN122" s="1007"/>
      <c r="AO122" s="1007"/>
      <c r="AP122" s="1008">
        <f t="shared" si="100"/>
        <v>2</v>
      </c>
      <c r="AQ122" s="1009"/>
    </row>
    <row r="123" spans="1:43" ht="20.25">
      <c r="A123" s="1150"/>
      <c r="B123" s="984"/>
      <c r="C123" s="1159" t="s">
        <v>341</v>
      </c>
      <c r="D123" s="999">
        <v>7.5</v>
      </c>
      <c r="E123" s="1000"/>
      <c r="F123" s="659"/>
      <c r="G123" s="658">
        <f t="shared" si="101"/>
        <v>0</v>
      </c>
      <c r="H123" s="68"/>
      <c r="I123" s="654">
        <f t="shared" si="102"/>
        <v>0</v>
      </c>
      <c r="J123" s="659"/>
      <c r="K123" s="658">
        <f t="shared" si="103"/>
        <v>0</v>
      </c>
      <c r="L123" s="68"/>
      <c r="M123" s="654">
        <f t="shared" si="104"/>
        <v>0</v>
      </c>
      <c r="N123" s="659"/>
      <c r="O123" s="658">
        <f t="shared" si="105"/>
        <v>0</v>
      </c>
      <c r="P123" s="657"/>
      <c r="Q123" s="654">
        <f t="shared" si="106"/>
        <v>0</v>
      </c>
      <c r="R123" s="68"/>
      <c r="S123" s="654">
        <f t="shared" si="107"/>
        <v>0</v>
      </c>
      <c r="T123" s="68"/>
      <c r="U123" s="654">
        <f t="shared" si="108"/>
        <v>0</v>
      </c>
      <c r="V123" s="659"/>
      <c r="W123" s="658">
        <f t="shared" si="109"/>
        <v>0</v>
      </c>
      <c r="X123" s="68"/>
      <c r="Y123" s="654">
        <f t="shared" si="110"/>
        <v>0</v>
      </c>
      <c r="Z123" s="659"/>
      <c r="AA123" s="658">
        <f t="shared" si="111"/>
        <v>0</v>
      </c>
      <c r="AB123" s="68"/>
      <c r="AC123" s="654">
        <f t="shared" si="112"/>
        <v>0</v>
      </c>
      <c r="AD123" s="660">
        <f>'[1]Commande Souvenirs, librairie'!F78</f>
        <v>6</v>
      </c>
      <c r="AE123" s="661"/>
      <c r="AF123" s="1151"/>
      <c r="AG123" s="662">
        <f t="shared" si="114"/>
        <v>1.5</v>
      </c>
      <c r="AH123" s="1003">
        <f t="shared" si="115"/>
        <v>0</v>
      </c>
      <c r="AI123" s="1004">
        <f t="shared" si="113"/>
        <v>0</v>
      </c>
      <c r="AJ123" s="1005">
        <f t="shared" si="99"/>
        <v>0</v>
      </c>
      <c r="AK123" s="1006">
        <v>0</v>
      </c>
      <c r="AL123" s="1007"/>
      <c r="AM123" s="1007"/>
      <c r="AN123" s="1007"/>
      <c r="AO123" s="1007"/>
      <c r="AP123" s="1008">
        <f t="shared" si="100"/>
        <v>0</v>
      </c>
      <c r="AQ123" s="1009"/>
    </row>
    <row r="124" spans="1:43" ht="20.25">
      <c r="A124" s="1150"/>
      <c r="B124" s="984"/>
      <c r="C124" s="1162" t="s">
        <v>343</v>
      </c>
      <c r="D124" s="1011">
        <v>20</v>
      </c>
      <c r="E124" s="1012">
        <v>21</v>
      </c>
      <c r="F124" s="706">
        <v>1</v>
      </c>
      <c r="G124" s="705">
        <f t="shared" si="101"/>
        <v>20</v>
      </c>
      <c r="H124" s="703"/>
      <c r="I124" s="700">
        <f t="shared" si="102"/>
        <v>0</v>
      </c>
      <c r="J124" s="706">
        <v>1</v>
      </c>
      <c r="K124" s="705">
        <f t="shared" si="103"/>
        <v>20</v>
      </c>
      <c r="L124" s="703"/>
      <c r="M124" s="700">
        <f>L124*E124</f>
        <v>0</v>
      </c>
      <c r="N124" s="706">
        <v>1</v>
      </c>
      <c r="O124" s="705">
        <f>N124*E124</f>
        <v>21</v>
      </c>
      <c r="P124" s="704">
        <v>1</v>
      </c>
      <c r="Q124" s="700">
        <f>P124*E124</f>
        <v>21</v>
      </c>
      <c r="R124" s="703"/>
      <c r="S124" s="700">
        <f>R124*E124</f>
        <v>0</v>
      </c>
      <c r="T124" s="703"/>
      <c r="U124" s="700">
        <f>T124*E124</f>
        <v>0</v>
      </c>
      <c r="V124" s="706"/>
      <c r="W124" s="705">
        <f>V124*E124</f>
        <v>0</v>
      </c>
      <c r="X124" s="703"/>
      <c r="Y124" s="700">
        <f>X124*E124</f>
        <v>0</v>
      </c>
      <c r="Z124" s="706"/>
      <c r="AA124" s="705">
        <f>Z124*E124</f>
        <v>0</v>
      </c>
      <c r="AB124" s="703"/>
      <c r="AC124" s="700">
        <f>AB124*E124</f>
        <v>0</v>
      </c>
      <c r="AD124" s="707">
        <f>'[1]Commande Souvenirs, librairie'!F81</f>
        <v>16.919999999999998</v>
      </c>
      <c r="AE124" s="708"/>
      <c r="AF124" s="1151"/>
      <c r="AG124" s="709">
        <f t="shared" si="114"/>
        <v>3.080000000000002</v>
      </c>
      <c r="AH124" s="1024">
        <f t="shared" si="115"/>
        <v>12.320000000000007</v>
      </c>
      <c r="AI124" s="1004">
        <f t="shared" si="113"/>
        <v>82</v>
      </c>
      <c r="AJ124" s="1005">
        <f t="shared" si="99"/>
        <v>4</v>
      </c>
      <c r="AK124" s="1006">
        <v>8</v>
      </c>
      <c r="AL124" s="1007"/>
      <c r="AM124" s="1007">
        <v>9</v>
      </c>
      <c r="AN124" s="1007"/>
      <c r="AO124" s="1007"/>
      <c r="AP124" s="1008">
        <f t="shared" si="100"/>
        <v>-5</v>
      </c>
      <c r="AQ124" s="1009"/>
    </row>
    <row r="125" spans="1:43" ht="20.25" customHeight="1">
      <c r="A125" s="1150"/>
      <c r="B125" s="984" t="s">
        <v>707</v>
      </c>
      <c r="C125" s="1156" t="s">
        <v>708</v>
      </c>
      <c r="D125" s="986">
        <v>26.5</v>
      </c>
      <c r="E125" s="987"/>
      <c r="F125" s="637"/>
      <c r="G125" s="636">
        <f t="shared" si="101"/>
        <v>0</v>
      </c>
      <c r="H125" s="634"/>
      <c r="I125" s="631">
        <f t="shared" si="102"/>
        <v>0</v>
      </c>
      <c r="J125" s="637"/>
      <c r="K125" s="636">
        <f t="shared" si="103"/>
        <v>0</v>
      </c>
      <c r="L125" s="634"/>
      <c r="M125" s="631">
        <f aca="true" t="shared" si="116" ref="M125:M203">L125*D125</f>
        <v>0</v>
      </c>
      <c r="N125" s="637"/>
      <c r="O125" s="636">
        <f aca="true" t="shared" si="117" ref="O125:O164">N125*D125</f>
        <v>0</v>
      </c>
      <c r="P125" s="635">
        <v>1</v>
      </c>
      <c r="Q125" s="631">
        <f aca="true" t="shared" si="118" ref="Q125:Q252">P125*D125</f>
        <v>26.5</v>
      </c>
      <c r="R125" s="634"/>
      <c r="S125" s="631">
        <f aca="true" t="shared" si="119" ref="S125:S184">R125*D125</f>
        <v>0</v>
      </c>
      <c r="T125" s="634"/>
      <c r="U125" s="631">
        <f aca="true" t="shared" si="120" ref="U125:U252">T125*D125</f>
        <v>0</v>
      </c>
      <c r="V125" s="637"/>
      <c r="W125" s="636">
        <f aca="true" t="shared" si="121" ref="W125:W252">V125*D125</f>
        <v>0</v>
      </c>
      <c r="X125" s="634"/>
      <c r="Y125" s="631">
        <f aca="true" t="shared" si="122" ref="Y125:Y252">X125*D125</f>
        <v>0</v>
      </c>
      <c r="Z125" s="637"/>
      <c r="AA125" s="636">
        <f aca="true" t="shared" si="123" ref="AA125:AA252">Z125*D125</f>
        <v>0</v>
      </c>
      <c r="AB125" s="634"/>
      <c r="AC125" s="631">
        <f aca="true" t="shared" si="124" ref="AC125:AC252">AB125*D125</f>
        <v>0</v>
      </c>
      <c r="AD125" s="638">
        <f>'[1]Commande Souvenirs, librairie'!F85</f>
        <v>21</v>
      </c>
      <c r="AE125" s="639"/>
      <c r="AF125" s="1151"/>
      <c r="AG125" s="641">
        <f t="shared" si="114"/>
        <v>5.5</v>
      </c>
      <c r="AH125" s="1025">
        <f t="shared" si="115"/>
        <v>5.5</v>
      </c>
      <c r="AI125" s="1004">
        <f t="shared" si="113"/>
        <v>26.5</v>
      </c>
      <c r="AJ125" s="1005">
        <f t="shared" si="99"/>
        <v>1</v>
      </c>
      <c r="AK125" s="1006">
        <v>5</v>
      </c>
      <c r="AL125" s="1007"/>
      <c r="AM125" s="1007">
        <v>5</v>
      </c>
      <c r="AN125" s="1007"/>
      <c r="AO125" s="1007"/>
      <c r="AP125" s="1008">
        <f t="shared" si="100"/>
        <v>-1</v>
      </c>
      <c r="AQ125" s="1009"/>
    </row>
    <row r="126" spans="1:43" ht="20.25">
      <c r="A126" s="1150"/>
      <c r="B126" s="984"/>
      <c r="C126" s="1159" t="s">
        <v>709</v>
      </c>
      <c r="D126" s="999">
        <v>10</v>
      </c>
      <c r="E126" s="1000"/>
      <c r="F126" s="659"/>
      <c r="G126" s="658">
        <f t="shared" si="101"/>
        <v>0</v>
      </c>
      <c r="H126" s="68"/>
      <c r="I126" s="654">
        <f t="shared" si="102"/>
        <v>0</v>
      </c>
      <c r="J126" s="659"/>
      <c r="K126" s="658">
        <f t="shared" si="103"/>
        <v>0</v>
      </c>
      <c r="L126" s="68"/>
      <c r="M126" s="654">
        <f t="shared" si="116"/>
        <v>0</v>
      </c>
      <c r="N126" s="659">
        <v>1</v>
      </c>
      <c r="O126" s="658">
        <f t="shared" si="117"/>
        <v>10</v>
      </c>
      <c r="P126" s="657">
        <v>1</v>
      </c>
      <c r="Q126" s="654">
        <f t="shared" si="118"/>
        <v>10</v>
      </c>
      <c r="R126" s="68"/>
      <c r="S126" s="654">
        <f t="shared" si="119"/>
        <v>0</v>
      </c>
      <c r="T126" s="68"/>
      <c r="U126" s="654">
        <f t="shared" si="120"/>
        <v>0</v>
      </c>
      <c r="V126" s="659"/>
      <c r="W126" s="658">
        <f t="shared" si="121"/>
        <v>0</v>
      </c>
      <c r="X126" s="68"/>
      <c r="Y126" s="654">
        <f t="shared" si="122"/>
        <v>0</v>
      </c>
      <c r="Z126" s="659"/>
      <c r="AA126" s="658">
        <f t="shared" si="123"/>
        <v>0</v>
      </c>
      <c r="AB126" s="68"/>
      <c r="AC126" s="654">
        <f t="shared" si="124"/>
        <v>0</v>
      </c>
      <c r="AD126" s="660">
        <f>'[1]Commande Souvenirs, librairie'!F83</f>
        <v>7.5</v>
      </c>
      <c r="AE126" s="661"/>
      <c r="AF126" s="1151"/>
      <c r="AG126" s="662">
        <f t="shared" si="114"/>
        <v>2.5</v>
      </c>
      <c r="AH126" s="1003">
        <f t="shared" si="115"/>
        <v>5</v>
      </c>
      <c r="AI126" s="1004">
        <f t="shared" si="113"/>
        <v>20</v>
      </c>
      <c r="AJ126" s="1005">
        <f t="shared" si="99"/>
        <v>2</v>
      </c>
      <c r="AK126" s="1006">
        <v>16</v>
      </c>
      <c r="AL126" s="1007"/>
      <c r="AM126" s="1007"/>
      <c r="AN126" s="1007"/>
      <c r="AO126" s="1007"/>
      <c r="AP126" s="1008">
        <f t="shared" si="100"/>
        <v>14</v>
      </c>
      <c r="AQ126" s="1009"/>
    </row>
    <row r="127" spans="1:43" ht="20.25">
      <c r="A127" s="1150"/>
      <c r="B127" s="984"/>
      <c r="C127" s="1162" t="s">
        <v>710</v>
      </c>
      <c r="D127" s="1011">
        <v>10</v>
      </c>
      <c r="E127" s="1012"/>
      <c r="F127" s="706"/>
      <c r="G127" s="705">
        <f t="shared" si="101"/>
        <v>0</v>
      </c>
      <c r="H127" s="703"/>
      <c r="I127" s="700">
        <f t="shared" si="102"/>
        <v>0</v>
      </c>
      <c r="J127" s="706">
        <v>1</v>
      </c>
      <c r="K127" s="705">
        <f t="shared" si="103"/>
        <v>10</v>
      </c>
      <c r="L127" s="703"/>
      <c r="M127" s="700">
        <f t="shared" si="116"/>
        <v>0</v>
      </c>
      <c r="N127" s="706"/>
      <c r="O127" s="705">
        <f t="shared" si="117"/>
        <v>0</v>
      </c>
      <c r="P127" s="704"/>
      <c r="Q127" s="700">
        <f t="shared" si="118"/>
        <v>0</v>
      </c>
      <c r="R127" s="703"/>
      <c r="S127" s="700">
        <f t="shared" si="119"/>
        <v>0</v>
      </c>
      <c r="T127" s="703"/>
      <c r="U127" s="700">
        <f t="shared" si="120"/>
        <v>0</v>
      </c>
      <c r="V127" s="706"/>
      <c r="W127" s="705">
        <f t="shared" si="121"/>
        <v>0</v>
      </c>
      <c r="X127" s="703"/>
      <c r="Y127" s="700">
        <f t="shared" si="122"/>
        <v>0</v>
      </c>
      <c r="Z127" s="706"/>
      <c r="AA127" s="705">
        <f t="shared" si="123"/>
        <v>0</v>
      </c>
      <c r="AB127" s="703"/>
      <c r="AC127" s="700">
        <f t="shared" si="124"/>
        <v>0</v>
      </c>
      <c r="AD127" s="707">
        <f>'[1]Commande Souvenirs, librairie'!F82</f>
        <v>7.8</v>
      </c>
      <c r="AE127" s="708"/>
      <c r="AF127" s="1151"/>
      <c r="AG127" s="709">
        <f t="shared" si="114"/>
        <v>2.2</v>
      </c>
      <c r="AH127" s="1024">
        <f t="shared" si="115"/>
        <v>2.2</v>
      </c>
      <c r="AI127" s="1004">
        <f t="shared" si="113"/>
        <v>10</v>
      </c>
      <c r="AJ127" s="1005">
        <f t="shared" si="99"/>
        <v>1</v>
      </c>
      <c r="AK127" s="1006">
        <v>1</v>
      </c>
      <c r="AL127" s="1007"/>
      <c r="AM127" s="1007"/>
      <c r="AN127" s="1007"/>
      <c r="AO127" s="1007"/>
      <c r="AP127" s="1008">
        <f t="shared" si="100"/>
        <v>0</v>
      </c>
      <c r="AQ127" s="1009"/>
    </row>
    <row r="128" spans="1:43" ht="33" customHeight="1">
      <c r="A128" s="1173" t="s">
        <v>711</v>
      </c>
      <c r="B128" s="984" t="s">
        <v>556</v>
      </c>
      <c r="C128" s="1174" t="s">
        <v>556</v>
      </c>
      <c r="D128" s="986">
        <v>1</v>
      </c>
      <c r="E128" s="987"/>
      <c r="F128" s="637">
        <v>4</v>
      </c>
      <c r="G128" s="988">
        <f t="shared" si="101"/>
        <v>4</v>
      </c>
      <c r="H128" s="634"/>
      <c r="I128" s="631">
        <f t="shared" si="102"/>
        <v>0</v>
      </c>
      <c r="J128" s="637"/>
      <c r="K128" s="636">
        <f t="shared" si="103"/>
        <v>0</v>
      </c>
      <c r="L128" s="634"/>
      <c r="M128" s="631">
        <f t="shared" si="116"/>
        <v>0</v>
      </c>
      <c r="N128" s="637">
        <v>2</v>
      </c>
      <c r="O128" s="636">
        <f t="shared" si="117"/>
        <v>2</v>
      </c>
      <c r="P128" s="635"/>
      <c r="Q128" s="631">
        <f t="shared" si="118"/>
        <v>0</v>
      </c>
      <c r="R128" s="634"/>
      <c r="S128" s="631">
        <f t="shared" si="119"/>
        <v>0</v>
      </c>
      <c r="T128" s="634"/>
      <c r="U128" s="631">
        <f t="shared" si="120"/>
        <v>0</v>
      </c>
      <c r="V128" s="634"/>
      <c r="W128" s="631">
        <f t="shared" si="121"/>
        <v>0</v>
      </c>
      <c r="X128" s="634"/>
      <c r="Y128" s="631">
        <f t="shared" si="122"/>
        <v>0</v>
      </c>
      <c r="Z128" s="634"/>
      <c r="AA128" s="631">
        <f t="shared" si="123"/>
        <v>0</v>
      </c>
      <c r="AB128" s="634"/>
      <c r="AC128" s="631">
        <f t="shared" si="124"/>
        <v>0</v>
      </c>
      <c r="AD128" s="638">
        <f>'[1]Commande Souvenirs, librairie'!F168</f>
        <v>0.48</v>
      </c>
      <c r="AE128" s="639"/>
      <c r="AF128" s="1151"/>
      <c r="AG128" s="641">
        <f t="shared" si="114"/>
        <v>0.52</v>
      </c>
      <c r="AH128" s="1025">
        <f t="shared" si="115"/>
        <v>3.12</v>
      </c>
      <c r="AI128" s="1004">
        <f t="shared" si="113"/>
        <v>6</v>
      </c>
      <c r="AJ128" s="1005">
        <f t="shared" si="99"/>
        <v>6</v>
      </c>
      <c r="AK128" s="1006">
        <v>932</v>
      </c>
      <c r="AL128" s="1007"/>
      <c r="AM128" s="1007">
        <v>30</v>
      </c>
      <c r="AN128" s="1007"/>
      <c r="AO128" s="1007"/>
      <c r="AP128" s="1008">
        <f t="shared" si="100"/>
        <v>896</v>
      </c>
      <c r="AQ128" s="1009"/>
    </row>
    <row r="129" spans="1:43" ht="21" customHeight="1">
      <c r="A129" s="1173"/>
      <c r="B129" s="984"/>
      <c r="C129" s="1161" t="s">
        <v>432</v>
      </c>
      <c r="D129" s="999">
        <v>1</v>
      </c>
      <c r="E129" s="1000"/>
      <c r="F129" s="659"/>
      <c r="G129" s="1001">
        <f t="shared" si="101"/>
        <v>0</v>
      </c>
      <c r="H129" s="68">
        <v>1</v>
      </c>
      <c r="I129" s="654">
        <f t="shared" si="102"/>
        <v>1</v>
      </c>
      <c r="J129" s="659">
        <v>1</v>
      </c>
      <c r="K129" s="658">
        <f t="shared" si="103"/>
        <v>1</v>
      </c>
      <c r="L129" s="68"/>
      <c r="M129" s="654">
        <f t="shared" si="116"/>
        <v>0</v>
      </c>
      <c r="N129" s="659"/>
      <c r="O129" s="658">
        <f t="shared" si="117"/>
        <v>0</v>
      </c>
      <c r="P129" s="657"/>
      <c r="Q129" s="654">
        <f t="shared" si="118"/>
        <v>0</v>
      </c>
      <c r="R129" s="68"/>
      <c r="S129" s="654">
        <f t="shared" si="119"/>
        <v>0</v>
      </c>
      <c r="T129" s="68"/>
      <c r="U129" s="654">
        <f t="shared" si="120"/>
        <v>0</v>
      </c>
      <c r="V129" s="68"/>
      <c r="W129" s="654">
        <f t="shared" si="121"/>
        <v>0</v>
      </c>
      <c r="X129" s="68"/>
      <c r="Y129" s="654">
        <f t="shared" si="122"/>
        <v>0</v>
      </c>
      <c r="Z129" s="68"/>
      <c r="AA129" s="654">
        <f t="shared" si="123"/>
        <v>0</v>
      </c>
      <c r="AB129" s="68"/>
      <c r="AC129" s="654">
        <f t="shared" si="124"/>
        <v>0</v>
      </c>
      <c r="AD129" s="660">
        <v>0.13</v>
      </c>
      <c r="AE129" s="661"/>
      <c r="AF129" s="1151"/>
      <c r="AG129" s="662">
        <f t="shared" si="114"/>
        <v>0.87</v>
      </c>
      <c r="AH129" s="1003">
        <f t="shared" si="115"/>
        <v>1.74</v>
      </c>
      <c r="AI129" s="1004">
        <f t="shared" si="113"/>
        <v>2</v>
      </c>
      <c r="AJ129" s="1005">
        <f t="shared" si="99"/>
        <v>2</v>
      </c>
      <c r="AK129" s="1006">
        <v>247</v>
      </c>
      <c r="AL129" s="1007"/>
      <c r="AM129" s="1007">
        <v>10</v>
      </c>
      <c r="AN129" s="1007"/>
      <c r="AO129" s="1007"/>
      <c r="AP129" s="1008">
        <f t="shared" si="100"/>
        <v>235</v>
      </c>
      <c r="AQ129" s="1009"/>
    </row>
    <row r="130" spans="1:43" ht="20.25">
      <c r="A130" s="1173"/>
      <c r="B130" s="984"/>
      <c r="C130" s="1161" t="s">
        <v>433</v>
      </c>
      <c r="D130" s="999">
        <v>1</v>
      </c>
      <c r="E130" s="1000"/>
      <c r="F130" s="659"/>
      <c r="G130" s="1001">
        <f t="shared" si="101"/>
        <v>0</v>
      </c>
      <c r="H130" s="68">
        <v>1</v>
      </c>
      <c r="I130" s="654">
        <f t="shared" si="102"/>
        <v>1</v>
      </c>
      <c r="J130" s="659"/>
      <c r="K130" s="658">
        <f t="shared" si="103"/>
        <v>0</v>
      </c>
      <c r="L130" s="68"/>
      <c r="M130" s="654">
        <f t="shared" si="116"/>
        <v>0</v>
      </c>
      <c r="N130" s="659"/>
      <c r="O130" s="658">
        <f t="shared" si="117"/>
        <v>0</v>
      </c>
      <c r="P130" s="657"/>
      <c r="Q130" s="654">
        <f t="shared" si="118"/>
        <v>0</v>
      </c>
      <c r="R130" s="68"/>
      <c r="S130" s="654">
        <f t="shared" si="119"/>
        <v>0</v>
      </c>
      <c r="T130" s="68"/>
      <c r="U130" s="654">
        <f t="shared" si="120"/>
        <v>0</v>
      </c>
      <c r="V130" s="68"/>
      <c r="W130" s="654">
        <f t="shared" si="121"/>
        <v>0</v>
      </c>
      <c r="X130" s="68"/>
      <c r="Y130" s="654">
        <f t="shared" si="122"/>
        <v>0</v>
      </c>
      <c r="Z130" s="68"/>
      <c r="AA130" s="654">
        <f t="shared" si="123"/>
        <v>0</v>
      </c>
      <c r="AB130" s="68"/>
      <c r="AC130" s="654">
        <f t="shared" si="124"/>
        <v>0</v>
      </c>
      <c r="AD130" s="660">
        <v>0.13</v>
      </c>
      <c r="AE130" s="661"/>
      <c r="AF130" s="1151"/>
      <c r="AG130" s="662">
        <f t="shared" si="114"/>
        <v>0.87</v>
      </c>
      <c r="AH130" s="1003">
        <f t="shared" si="115"/>
        <v>0.87</v>
      </c>
      <c r="AI130" s="1004">
        <f t="shared" si="113"/>
        <v>1</v>
      </c>
      <c r="AJ130" s="1005">
        <f t="shared" si="99"/>
        <v>1</v>
      </c>
      <c r="AK130" s="1006">
        <v>275</v>
      </c>
      <c r="AL130" s="1007"/>
      <c r="AM130" s="1007"/>
      <c r="AN130" s="1007"/>
      <c r="AO130" s="1007"/>
      <c r="AP130" s="1008">
        <f t="shared" si="100"/>
        <v>274</v>
      </c>
      <c r="AQ130" s="1009"/>
    </row>
    <row r="131" spans="1:43" ht="20.25">
      <c r="A131" s="1173"/>
      <c r="B131" s="984"/>
      <c r="C131" s="1161" t="s">
        <v>434</v>
      </c>
      <c r="D131" s="999">
        <v>1</v>
      </c>
      <c r="E131" s="1000"/>
      <c r="F131" s="659"/>
      <c r="G131" s="1001">
        <f t="shared" si="101"/>
        <v>0</v>
      </c>
      <c r="H131" s="68"/>
      <c r="I131" s="654">
        <f t="shared" si="102"/>
        <v>0</v>
      </c>
      <c r="J131" s="659"/>
      <c r="K131" s="658">
        <f t="shared" si="103"/>
        <v>0</v>
      </c>
      <c r="L131" s="68"/>
      <c r="M131" s="654">
        <f t="shared" si="116"/>
        <v>0</v>
      </c>
      <c r="N131" s="659"/>
      <c r="O131" s="658">
        <f t="shared" si="117"/>
        <v>0</v>
      </c>
      <c r="P131" s="657"/>
      <c r="Q131" s="654">
        <f t="shared" si="118"/>
        <v>0</v>
      </c>
      <c r="R131" s="68"/>
      <c r="S131" s="654">
        <f t="shared" si="119"/>
        <v>0</v>
      </c>
      <c r="T131" s="68"/>
      <c r="U131" s="654">
        <f t="shared" si="120"/>
        <v>0</v>
      </c>
      <c r="V131" s="68"/>
      <c r="W131" s="654">
        <f t="shared" si="121"/>
        <v>0</v>
      </c>
      <c r="X131" s="68"/>
      <c r="Y131" s="654">
        <f t="shared" si="122"/>
        <v>0</v>
      </c>
      <c r="Z131" s="68"/>
      <c r="AA131" s="654">
        <f t="shared" si="123"/>
        <v>0</v>
      </c>
      <c r="AB131" s="68"/>
      <c r="AC131" s="654">
        <f t="shared" si="124"/>
        <v>0</v>
      </c>
      <c r="AD131" s="660">
        <v>0.13</v>
      </c>
      <c r="AE131" s="661"/>
      <c r="AF131" s="1151"/>
      <c r="AG131" s="662">
        <f t="shared" si="114"/>
        <v>0.87</v>
      </c>
      <c r="AH131" s="1003">
        <f t="shared" si="115"/>
        <v>0</v>
      </c>
      <c r="AI131" s="1004">
        <f t="shared" si="113"/>
        <v>0</v>
      </c>
      <c r="AJ131" s="1005">
        <f t="shared" si="99"/>
        <v>0</v>
      </c>
      <c r="AK131" s="1006">
        <f>168+29</f>
        <v>197</v>
      </c>
      <c r="AL131" s="1007"/>
      <c r="AM131" s="1007">
        <v>10</v>
      </c>
      <c r="AN131" s="1007"/>
      <c r="AO131" s="1007"/>
      <c r="AP131" s="1008">
        <f t="shared" si="100"/>
        <v>187</v>
      </c>
      <c r="AQ131" s="1009"/>
    </row>
    <row r="132" spans="1:43" ht="20.25">
      <c r="A132" s="1173"/>
      <c r="B132" s="984"/>
      <c r="C132" s="1161" t="s">
        <v>153</v>
      </c>
      <c r="D132" s="999">
        <v>1</v>
      </c>
      <c r="E132" s="1000"/>
      <c r="F132" s="659"/>
      <c r="G132" s="1001">
        <f t="shared" si="101"/>
        <v>0</v>
      </c>
      <c r="H132" s="68"/>
      <c r="I132" s="654">
        <f t="shared" si="102"/>
        <v>0</v>
      </c>
      <c r="J132" s="659"/>
      <c r="K132" s="658">
        <f t="shared" si="103"/>
        <v>0</v>
      </c>
      <c r="L132" s="68"/>
      <c r="M132" s="654">
        <f t="shared" si="116"/>
        <v>0</v>
      </c>
      <c r="N132" s="659"/>
      <c r="O132" s="658">
        <f t="shared" si="117"/>
        <v>0</v>
      </c>
      <c r="P132" s="657"/>
      <c r="Q132" s="654">
        <f t="shared" si="118"/>
        <v>0</v>
      </c>
      <c r="R132" s="68"/>
      <c r="S132" s="654">
        <f t="shared" si="119"/>
        <v>0</v>
      </c>
      <c r="T132" s="68"/>
      <c r="U132" s="654">
        <f t="shared" si="120"/>
        <v>0</v>
      </c>
      <c r="V132" s="68"/>
      <c r="W132" s="654">
        <f t="shared" si="121"/>
        <v>0</v>
      </c>
      <c r="X132" s="68"/>
      <c r="Y132" s="654">
        <f t="shared" si="122"/>
        <v>0</v>
      </c>
      <c r="Z132" s="68"/>
      <c r="AA132" s="654">
        <f t="shared" si="123"/>
        <v>0</v>
      </c>
      <c r="AB132" s="68"/>
      <c r="AC132" s="654">
        <f t="shared" si="124"/>
        <v>0</v>
      </c>
      <c r="AD132" s="660">
        <v>0.13</v>
      </c>
      <c r="AE132" s="661"/>
      <c r="AF132" s="1151"/>
      <c r="AG132" s="662">
        <f t="shared" si="114"/>
        <v>0.87</v>
      </c>
      <c r="AH132" s="1003">
        <f t="shared" si="115"/>
        <v>0</v>
      </c>
      <c r="AI132" s="1004">
        <f t="shared" si="113"/>
        <v>0</v>
      </c>
      <c r="AJ132" s="1005">
        <f t="shared" si="99"/>
        <v>0</v>
      </c>
      <c r="AK132" s="1006">
        <f>200+22</f>
        <v>222</v>
      </c>
      <c r="AL132" s="1007"/>
      <c r="AM132" s="1007">
        <v>10</v>
      </c>
      <c r="AN132" s="1007"/>
      <c r="AO132" s="1007"/>
      <c r="AP132" s="1008">
        <f t="shared" si="100"/>
        <v>212</v>
      </c>
      <c r="AQ132" s="1009"/>
    </row>
    <row r="133" spans="1:43" ht="20.25">
      <c r="A133" s="1173"/>
      <c r="B133" s="984"/>
      <c r="C133" s="1161" t="s">
        <v>435</v>
      </c>
      <c r="D133" s="999">
        <v>1</v>
      </c>
      <c r="E133" s="1000"/>
      <c r="F133" s="659"/>
      <c r="G133" s="1001">
        <f t="shared" si="101"/>
        <v>0</v>
      </c>
      <c r="H133" s="68"/>
      <c r="I133" s="654">
        <f t="shared" si="102"/>
        <v>0</v>
      </c>
      <c r="J133" s="659"/>
      <c r="K133" s="658">
        <f t="shared" si="103"/>
        <v>0</v>
      </c>
      <c r="L133" s="68"/>
      <c r="M133" s="654">
        <f t="shared" si="116"/>
        <v>0</v>
      </c>
      <c r="N133" s="659"/>
      <c r="O133" s="658">
        <f t="shared" si="117"/>
        <v>0</v>
      </c>
      <c r="P133" s="657"/>
      <c r="Q133" s="654">
        <f t="shared" si="118"/>
        <v>0</v>
      </c>
      <c r="R133" s="68"/>
      <c r="S133" s="654">
        <f t="shared" si="119"/>
        <v>0</v>
      </c>
      <c r="T133" s="68"/>
      <c r="U133" s="654">
        <f t="shared" si="120"/>
        <v>0</v>
      </c>
      <c r="V133" s="68"/>
      <c r="W133" s="654">
        <f t="shared" si="121"/>
        <v>0</v>
      </c>
      <c r="X133" s="68"/>
      <c r="Y133" s="654">
        <f t="shared" si="122"/>
        <v>0</v>
      </c>
      <c r="Z133" s="68"/>
      <c r="AA133" s="654">
        <f t="shared" si="123"/>
        <v>0</v>
      </c>
      <c r="AB133" s="68"/>
      <c r="AC133" s="654">
        <f t="shared" si="124"/>
        <v>0</v>
      </c>
      <c r="AD133" s="660">
        <v>0.13</v>
      </c>
      <c r="AE133" s="661"/>
      <c r="AF133" s="1151"/>
      <c r="AG133" s="662">
        <f t="shared" si="114"/>
        <v>0.87</v>
      </c>
      <c r="AH133" s="1003">
        <f t="shared" si="115"/>
        <v>0</v>
      </c>
      <c r="AI133" s="1004">
        <f t="shared" si="113"/>
        <v>0</v>
      </c>
      <c r="AJ133" s="1005">
        <f t="shared" si="99"/>
        <v>0</v>
      </c>
      <c r="AK133" s="1006">
        <v>300</v>
      </c>
      <c r="AL133" s="1007"/>
      <c r="AM133" s="1007">
        <v>40</v>
      </c>
      <c r="AN133" s="1007"/>
      <c r="AO133" s="1007"/>
      <c r="AP133" s="1008">
        <f t="shared" si="100"/>
        <v>260</v>
      </c>
      <c r="AQ133" s="1009"/>
    </row>
    <row r="134" spans="1:43" ht="20.25">
      <c r="A134" s="1173"/>
      <c r="B134" s="984"/>
      <c r="C134" s="1161" t="s">
        <v>436</v>
      </c>
      <c r="D134" s="999">
        <v>1</v>
      </c>
      <c r="E134" s="1000"/>
      <c r="F134" s="659">
        <v>2</v>
      </c>
      <c r="G134" s="1001">
        <f t="shared" si="101"/>
        <v>2</v>
      </c>
      <c r="H134" s="68"/>
      <c r="I134" s="654">
        <f t="shared" si="102"/>
        <v>0</v>
      </c>
      <c r="J134" s="659"/>
      <c r="K134" s="658">
        <f t="shared" si="103"/>
        <v>0</v>
      </c>
      <c r="L134" s="68"/>
      <c r="M134" s="654">
        <f t="shared" si="116"/>
        <v>0</v>
      </c>
      <c r="N134" s="659"/>
      <c r="O134" s="658">
        <f t="shared" si="117"/>
        <v>0</v>
      </c>
      <c r="P134" s="657"/>
      <c r="Q134" s="654">
        <f t="shared" si="118"/>
        <v>0</v>
      </c>
      <c r="R134" s="68"/>
      <c r="S134" s="654">
        <f t="shared" si="119"/>
        <v>0</v>
      </c>
      <c r="T134" s="68"/>
      <c r="U134" s="654">
        <f t="shared" si="120"/>
        <v>0</v>
      </c>
      <c r="V134" s="68"/>
      <c r="W134" s="654">
        <f t="shared" si="121"/>
        <v>0</v>
      </c>
      <c r="X134" s="68"/>
      <c r="Y134" s="654">
        <f t="shared" si="122"/>
        <v>0</v>
      </c>
      <c r="Z134" s="68"/>
      <c r="AA134" s="654">
        <f t="shared" si="123"/>
        <v>0</v>
      </c>
      <c r="AB134" s="68"/>
      <c r="AC134" s="654">
        <f t="shared" si="124"/>
        <v>0</v>
      </c>
      <c r="AD134" s="660">
        <v>0.13</v>
      </c>
      <c r="AE134" s="661"/>
      <c r="AF134" s="1151"/>
      <c r="AG134" s="662">
        <f t="shared" si="114"/>
        <v>0.87</v>
      </c>
      <c r="AH134" s="1003">
        <f t="shared" si="115"/>
        <v>1.74</v>
      </c>
      <c r="AI134" s="1004">
        <f t="shared" si="113"/>
        <v>2</v>
      </c>
      <c r="AJ134" s="1005">
        <f t="shared" si="99"/>
        <v>2</v>
      </c>
      <c r="AK134" s="1006">
        <v>58</v>
      </c>
      <c r="AL134" s="1007"/>
      <c r="AM134" s="1007"/>
      <c r="AN134" s="1007"/>
      <c r="AO134" s="1007"/>
      <c r="AP134" s="1008">
        <f t="shared" si="100"/>
        <v>56</v>
      </c>
      <c r="AQ134" s="1009"/>
    </row>
    <row r="135" spans="1:43" ht="20.25">
      <c r="A135" s="1173"/>
      <c r="B135" s="984"/>
      <c r="C135" s="1161" t="s">
        <v>437</v>
      </c>
      <c r="D135" s="999">
        <v>1</v>
      </c>
      <c r="E135" s="1000"/>
      <c r="F135" s="659">
        <v>1</v>
      </c>
      <c r="G135" s="1001">
        <f t="shared" si="101"/>
        <v>1</v>
      </c>
      <c r="H135" s="68"/>
      <c r="I135" s="654">
        <f t="shared" si="102"/>
        <v>0</v>
      </c>
      <c r="J135" s="659"/>
      <c r="K135" s="658">
        <f t="shared" si="103"/>
        <v>0</v>
      </c>
      <c r="L135" s="68"/>
      <c r="M135" s="654">
        <f t="shared" si="116"/>
        <v>0</v>
      </c>
      <c r="N135" s="659"/>
      <c r="O135" s="658">
        <f t="shared" si="117"/>
        <v>0</v>
      </c>
      <c r="P135" s="657"/>
      <c r="Q135" s="654">
        <f t="shared" si="118"/>
        <v>0</v>
      </c>
      <c r="R135" s="68"/>
      <c r="S135" s="654">
        <f t="shared" si="119"/>
        <v>0</v>
      </c>
      <c r="T135" s="68"/>
      <c r="U135" s="654">
        <f t="shared" si="120"/>
        <v>0</v>
      </c>
      <c r="V135" s="68"/>
      <c r="W135" s="654">
        <f t="shared" si="121"/>
        <v>0</v>
      </c>
      <c r="X135" s="68"/>
      <c r="Y135" s="654">
        <f t="shared" si="122"/>
        <v>0</v>
      </c>
      <c r="Z135" s="68"/>
      <c r="AA135" s="654">
        <f t="shared" si="123"/>
        <v>0</v>
      </c>
      <c r="AB135" s="68"/>
      <c r="AC135" s="654">
        <f t="shared" si="124"/>
        <v>0</v>
      </c>
      <c r="AD135" s="660">
        <v>0.13</v>
      </c>
      <c r="AE135" s="661"/>
      <c r="AF135" s="1151"/>
      <c r="AG135" s="662">
        <f t="shared" si="114"/>
        <v>0.87</v>
      </c>
      <c r="AH135" s="1003">
        <f t="shared" si="115"/>
        <v>0.87</v>
      </c>
      <c r="AI135" s="1004">
        <f t="shared" si="113"/>
        <v>1</v>
      </c>
      <c r="AJ135" s="1005">
        <f t="shared" si="99"/>
        <v>1</v>
      </c>
      <c r="AK135" s="1006">
        <f>98+28</f>
        <v>126</v>
      </c>
      <c r="AL135" s="1007"/>
      <c r="AM135" s="1007">
        <v>18</v>
      </c>
      <c r="AN135" s="1007"/>
      <c r="AO135" s="1007"/>
      <c r="AP135" s="1008">
        <f t="shared" si="100"/>
        <v>107</v>
      </c>
      <c r="AQ135" s="1009"/>
    </row>
    <row r="136" spans="1:43" ht="20.25">
      <c r="A136" s="1173"/>
      <c r="B136" s="984"/>
      <c r="C136" s="1161" t="s">
        <v>438</v>
      </c>
      <c r="D136" s="999">
        <v>1</v>
      </c>
      <c r="E136" s="1000"/>
      <c r="F136" s="659"/>
      <c r="G136" s="1001">
        <f t="shared" si="101"/>
        <v>0</v>
      </c>
      <c r="H136" s="68"/>
      <c r="I136" s="654">
        <f t="shared" si="102"/>
        <v>0</v>
      </c>
      <c r="J136" s="659">
        <v>1</v>
      </c>
      <c r="K136" s="658">
        <f t="shared" si="103"/>
        <v>1</v>
      </c>
      <c r="L136" s="68"/>
      <c r="M136" s="654">
        <f t="shared" si="116"/>
        <v>0</v>
      </c>
      <c r="N136" s="659"/>
      <c r="O136" s="658">
        <f t="shared" si="117"/>
        <v>0</v>
      </c>
      <c r="P136" s="657"/>
      <c r="Q136" s="654">
        <f t="shared" si="118"/>
        <v>0</v>
      </c>
      <c r="R136" s="68"/>
      <c r="S136" s="654">
        <f t="shared" si="119"/>
        <v>0</v>
      </c>
      <c r="T136" s="68"/>
      <c r="U136" s="654">
        <f t="shared" si="120"/>
        <v>0</v>
      </c>
      <c r="V136" s="68"/>
      <c r="W136" s="654">
        <f t="shared" si="121"/>
        <v>0</v>
      </c>
      <c r="X136" s="68"/>
      <c r="Y136" s="654">
        <f t="shared" si="122"/>
        <v>0</v>
      </c>
      <c r="Z136" s="68"/>
      <c r="AA136" s="654">
        <f t="shared" si="123"/>
        <v>0</v>
      </c>
      <c r="AB136" s="68"/>
      <c r="AC136" s="654">
        <f t="shared" si="124"/>
        <v>0</v>
      </c>
      <c r="AD136" s="660">
        <v>0.13</v>
      </c>
      <c r="AE136" s="661"/>
      <c r="AF136" s="1151"/>
      <c r="AG136" s="662">
        <f t="shared" si="114"/>
        <v>0.87</v>
      </c>
      <c r="AH136" s="1003">
        <f t="shared" si="115"/>
        <v>0.87</v>
      </c>
      <c r="AI136" s="1004">
        <f t="shared" si="113"/>
        <v>1</v>
      </c>
      <c r="AJ136" s="1005">
        <f t="shared" si="99"/>
        <v>1</v>
      </c>
      <c r="AK136" s="1006">
        <f>152+39</f>
        <v>191</v>
      </c>
      <c r="AL136" s="1007"/>
      <c r="AM136" s="1007">
        <v>39</v>
      </c>
      <c r="AN136" s="1007"/>
      <c r="AO136" s="1007"/>
      <c r="AP136" s="1008">
        <f t="shared" si="100"/>
        <v>151</v>
      </c>
      <c r="AQ136" s="1009"/>
    </row>
    <row r="137" spans="1:43" ht="20.25">
      <c r="A137" s="1173"/>
      <c r="B137" s="984"/>
      <c r="C137" s="1161" t="s">
        <v>439</v>
      </c>
      <c r="D137" s="999">
        <v>1</v>
      </c>
      <c r="E137" s="1000"/>
      <c r="F137" s="659"/>
      <c r="G137" s="1001">
        <f t="shared" si="101"/>
        <v>0</v>
      </c>
      <c r="H137" s="68">
        <v>1</v>
      </c>
      <c r="I137" s="654">
        <f t="shared" si="102"/>
        <v>1</v>
      </c>
      <c r="J137" s="659"/>
      <c r="K137" s="658">
        <f t="shared" si="103"/>
        <v>0</v>
      </c>
      <c r="L137" s="68"/>
      <c r="M137" s="654">
        <f t="shared" si="116"/>
        <v>0</v>
      </c>
      <c r="N137" s="659">
        <v>1</v>
      </c>
      <c r="O137" s="658">
        <f t="shared" si="117"/>
        <v>1</v>
      </c>
      <c r="P137" s="657"/>
      <c r="Q137" s="654">
        <f t="shared" si="118"/>
        <v>0</v>
      </c>
      <c r="R137" s="68"/>
      <c r="S137" s="654">
        <f t="shared" si="119"/>
        <v>0</v>
      </c>
      <c r="T137" s="68"/>
      <c r="U137" s="654">
        <f t="shared" si="120"/>
        <v>0</v>
      </c>
      <c r="V137" s="68"/>
      <c r="W137" s="654">
        <f t="shared" si="121"/>
        <v>0</v>
      </c>
      <c r="X137" s="68"/>
      <c r="Y137" s="654">
        <f t="shared" si="122"/>
        <v>0</v>
      </c>
      <c r="Z137" s="68"/>
      <c r="AA137" s="654">
        <f t="shared" si="123"/>
        <v>0</v>
      </c>
      <c r="AB137" s="68"/>
      <c r="AC137" s="654">
        <f t="shared" si="124"/>
        <v>0</v>
      </c>
      <c r="AD137" s="660">
        <v>0.13</v>
      </c>
      <c r="AE137" s="661"/>
      <c r="AF137" s="1151"/>
      <c r="AG137" s="662">
        <f t="shared" si="114"/>
        <v>0.87</v>
      </c>
      <c r="AH137" s="1003">
        <f t="shared" si="115"/>
        <v>1.74</v>
      </c>
      <c r="AI137" s="1004">
        <f t="shared" si="113"/>
        <v>2</v>
      </c>
      <c r="AJ137" s="1005">
        <f t="shared" si="99"/>
        <v>2</v>
      </c>
      <c r="AK137" s="1006">
        <f>306+70</f>
        <v>376</v>
      </c>
      <c r="AL137" s="1007"/>
      <c r="AM137" s="1007">
        <v>15</v>
      </c>
      <c r="AN137" s="1007"/>
      <c r="AO137" s="1007"/>
      <c r="AP137" s="1008">
        <f t="shared" si="100"/>
        <v>359</v>
      </c>
      <c r="AQ137" s="1009"/>
    </row>
    <row r="138" spans="1:43" ht="20.25">
      <c r="A138" s="1173"/>
      <c r="B138" s="984"/>
      <c r="C138" s="1152" t="s">
        <v>557</v>
      </c>
      <c r="D138" s="1011">
        <v>0</v>
      </c>
      <c r="E138" s="1012"/>
      <c r="F138" s="706"/>
      <c r="G138" s="1013">
        <f t="shared" si="101"/>
        <v>0</v>
      </c>
      <c r="H138" s="703">
        <v>2</v>
      </c>
      <c r="I138" s="700">
        <f t="shared" si="102"/>
        <v>0</v>
      </c>
      <c r="J138" s="706"/>
      <c r="K138" s="705">
        <f t="shared" si="103"/>
        <v>0</v>
      </c>
      <c r="L138" s="703"/>
      <c r="M138" s="700">
        <f t="shared" si="116"/>
        <v>0</v>
      </c>
      <c r="N138" s="706">
        <v>2</v>
      </c>
      <c r="O138" s="705">
        <f t="shared" si="117"/>
        <v>0</v>
      </c>
      <c r="P138" s="704"/>
      <c r="Q138" s="700">
        <f t="shared" si="118"/>
        <v>0</v>
      </c>
      <c r="R138" s="703"/>
      <c r="S138" s="700">
        <f t="shared" si="119"/>
        <v>0</v>
      </c>
      <c r="T138" s="703"/>
      <c r="U138" s="700">
        <f t="shared" si="120"/>
        <v>0</v>
      </c>
      <c r="V138" s="703"/>
      <c r="W138" s="700">
        <f t="shared" si="121"/>
        <v>0</v>
      </c>
      <c r="X138" s="703"/>
      <c r="Y138" s="700">
        <f t="shared" si="122"/>
        <v>0</v>
      </c>
      <c r="Z138" s="703"/>
      <c r="AA138" s="700">
        <f t="shared" si="123"/>
        <v>0</v>
      </c>
      <c r="AB138" s="703"/>
      <c r="AC138" s="700">
        <f t="shared" si="124"/>
        <v>0</v>
      </c>
      <c r="AD138" s="707"/>
      <c r="AE138" s="708"/>
      <c r="AF138" s="1151"/>
      <c r="AG138" s="709">
        <f t="shared" si="114"/>
        <v>0</v>
      </c>
      <c r="AH138" s="1024">
        <f t="shared" si="115"/>
        <v>0</v>
      </c>
      <c r="AI138" s="1004">
        <f t="shared" si="113"/>
        <v>0</v>
      </c>
      <c r="AJ138" s="1005">
        <f t="shared" si="99"/>
        <v>4</v>
      </c>
      <c r="AK138" s="1175"/>
      <c r="AL138" s="1007"/>
      <c r="AM138" s="1007"/>
      <c r="AN138" s="1007"/>
      <c r="AO138" s="1007"/>
      <c r="AP138" s="1008">
        <f t="shared" si="100"/>
        <v>-4</v>
      </c>
      <c r="AQ138" s="1176"/>
    </row>
    <row r="139" spans="1:43" ht="20.25">
      <c r="A139" s="1173"/>
      <c r="B139" s="1026" t="s">
        <v>712</v>
      </c>
      <c r="C139" s="453" t="s">
        <v>713</v>
      </c>
      <c r="D139" s="1140">
        <v>2</v>
      </c>
      <c r="E139" s="1029"/>
      <c r="F139" s="843"/>
      <c r="G139" s="1030">
        <f t="shared" si="101"/>
        <v>0</v>
      </c>
      <c r="H139" s="153"/>
      <c r="I139" s="750">
        <f t="shared" si="102"/>
        <v>0</v>
      </c>
      <c r="J139" s="843"/>
      <c r="K139" s="842">
        <f t="shared" si="103"/>
        <v>0</v>
      </c>
      <c r="L139" s="153"/>
      <c r="M139" s="750">
        <f t="shared" si="116"/>
        <v>0</v>
      </c>
      <c r="N139" s="843"/>
      <c r="O139" s="842">
        <f t="shared" si="117"/>
        <v>0</v>
      </c>
      <c r="P139" s="841"/>
      <c r="Q139" s="750">
        <f t="shared" si="118"/>
        <v>0</v>
      </c>
      <c r="R139" s="153"/>
      <c r="S139" s="750">
        <f t="shared" si="119"/>
        <v>0</v>
      </c>
      <c r="T139" s="153"/>
      <c r="U139" s="750">
        <f t="shared" si="120"/>
        <v>0</v>
      </c>
      <c r="V139" s="843"/>
      <c r="W139" s="842">
        <f t="shared" si="121"/>
        <v>0</v>
      </c>
      <c r="X139" s="153"/>
      <c r="Y139" s="750">
        <f t="shared" si="122"/>
        <v>0</v>
      </c>
      <c r="Z139" s="843"/>
      <c r="AA139" s="842">
        <f t="shared" si="123"/>
        <v>0</v>
      </c>
      <c r="AB139" s="153"/>
      <c r="AC139" s="750">
        <f t="shared" si="124"/>
        <v>0</v>
      </c>
      <c r="AD139" s="844">
        <f>'[1]Commande Souvenirs, librairie'!F167</f>
        <v>0.312</v>
      </c>
      <c r="AE139" s="845"/>
      <c r="AF139" s="1151"/>
      <c r="AG139" s="751">
        <f t="shared" si="114"/>
        <v>1.688</v>
      </c>
      <c r="AH139" s="1015">
        <f t="shared" si="115"/>
        <v>0</v>
      </c>
      <c r="AI139" s="1004">
        <f t="shared" si="113"/>
        <v>0</v>
      </c>
      <c r="AJ139" s="1005">
        <f t="shared" si="99"/>
        <v>0</v>
      </c>
      <c r="AK139" s="1006">
        <f>380+55</f>
        <v>435</v>
      </c>
      <c r="AL139" s="1007"/>
      <c r="AM139" s="1007"/>
      <c r="AN139" s="1007"/>
      <c r="AO139" s="1007"/>
      <c r="AP139" s="1008">
        <f t="shared" si="100"/>
        <v>435</v>
      </c>
      <c r="AQ139" s="1009"/>
    </row>
    <row r="140" spans="1:43" ht="21">
      <c r="A140" s="1173"/>
      <c r="B140" s="1155" t="s">
        <v>429</v>
      </c>
      <c r="C140" s="432" t="s">
        <v>711</v>
      </c>
      <c r="D140" s="1136">
        <v>1</v>
      </c>
      <c r="E140" s="1137"/>
      <c r="F140" s="884"/>
      <c r="G140" s="1153">
        <f t="shared" si="101"/>
        <v>0</v>
      </c>
      <c r="H140" s="881"/>
      <c r="I140" s="878">
        <f t="shared" si="102"/>
        <v>0</v>
      </c>
      <c r="J140" s="884"/>
      <c r="K140" s="883">
        <f t="shared" si="103"/>
        <v>0</v>
      </c>
      <c r="L140" s="881"/>
      <c r="M140" s="878">
        <f t="shared" si="116"/>
        <v>0</v>
      </c>
      <c r="N140" s="884"/>
      <c r="O140" s="883">
        <f t="shared" si="117"/>
        <v>0</v>
      </c>
      <c r="P140" s="882"/>
      <c r="Q140" s="878">
        <f t="shared" si="118"/>
        <v>0</v>
      </c>
      <c r="R140" s="881"/>
      <c r="S140" s="878">
        <f t="shared" si="119"/>
        <v>0</v>
      </c>
      <c r="T140" s="881"/>
      <c r="U140" s="878">
        <f t="shared" si="120"/>
        <v>0</v>
      </c>
      <c r="V140" s="884"/>
      <c r="W140" s="883">
        <f t="shared" si="121"/>
        <v>0</v>
      </c>
      <c r="X140" s="881"/>
      <c r="Y140" s="878">
        <f t="shared" si="122"/>
        <v>0</v>
      </c>
      <c r="Z140" s="884"/>
      <c r="AA140" s="883">
        <f t="shared" si="123"/>
        <v>0</v>
      </c>
      <c r="AB140" s="881"/>
      <c r="AC140" s="878">
        <f t="shared" si="124"/>
        <v>0</v>
      </c>
      <c r="AD140" s="885"/>
      <c r="AE140" s="886"/>
      <c r="AF140" s="1151"/>
      <c r="AG140" s="887">
        <f t="shared" si="114"/>
        <v>1</v>
      </c>
      <c r="AH140" s="1020">
        <f t="shared" si="115"/>
        <v>0</v>
      </c>
      <c r="AI140" s="1004">
        <f t="shared" si="113"/>
        <v>0</v>
      </c>
      <c r="AJ140" s="1005">
        <f t="shared" si="99"/>
        <v>0</v>
      </c>
      <c r="AK140" s="1006">
        <v>0</v>
      </c>
      <c r="AL140" s="1007"/>
      <c r="AM140" s="1007"/>
      <c r="AN140" s="1007"/>
      <c r="AO140" s="1007"/>
      <c r="AP140" s="1008">
        <f t="shared" si="100"/>
        <v>0</v>
      </c>
      <c r="AQ140" s="1009"/>
    </row>
    <row r="141" spans="1:43" ht="21">
      <c r="A141" s="1173"/>
      <c r="B141" s="1177" t="s">
        <v>714</v>
      </c>
      <c r="C141" s="1178" t="s">
        <v>711</v>
      </c>
      <c r="D141" s="1179">
        <v>1</v>
      </c>
      <c r="E141" s="1180"/>
      <c r="F141" s="1181"/>
      <c r="G141" s="1182">
        <f t="shared" si="101"/>
        <v>0</v>
      </c>
      <c r="H141" s="1183"/>
      <c r="I141" s="1184">
        <f t="shared" si="102"/>
        <v>0</v>
      </c>
      <c r="J141" s="1181"/>
      <c r="K141" s="1182">
        <f t="shared" si="103"/>
        <v>0</v>
      </c>
      <c r="L141" s="1183"/>
      <c r="M141" s="1184">
        <f t="shared" si="116"/>
        <v>0</v>
      </c>
      <c r="N141" s="1181"/>
      <c r="O141" s="1182">
        <f t="shared" si="117"/>
        <v>0</v>
      </c>
      <c r="P141" s="1185"/>
      <c r="Q141" s="1184">
        <f t="shared" si="118"/>
        <v>0</v>
      </c>
      <c r="R141" s="1183"/>
      <c r="S141" s="878">
        <f t="shared" si="119"/>
        <v>0</v>
      </c>
      <c r="T141" s="1183"/>
      <c r="U141" s="878">
        <f t="shared" si="120"/>
        <v>0</v>
      </c>
      <c r="V141" s="1181"/>
      <c r="W141" s="883">
        <f t="shared" si="121"/>
        <v>0</v>
      </c>
      <c r="X141" s="1183"/>
      <c r="Y141" s="878">
        <f t="shared" si="122"/>
        <v>0</v>
      </c>
      <c r="Z141" s="1181"/>
      <c r="AA141" s="883">
        <f t="shared" si="123"/>
        <v>0</v>
      </c>
      <c r="AB141" s="1183"/>
      <c r="AC141" s="878">
        <f t="shared" si="124"/>
        <v>0</v>
      </c>
      <c r="AD141" s="1186"/>
      <c r="AE141" s="1187"/>
      <c r="AF141" s="1151"/>
      <c r="AG141" s="1188">
        <f t="shared" si="114"/>
        <v>1</v>
      </c>
      <c r="AH141" s="1189">
        <f t="shared" si="115"/>
        <v>0</v>
      </c>
      <c r="AI141" s="1190">
        <f t="shared" si="113"/>
        <v>0</v>
      </c>
      <c r="AJ141" s="1005">
        <f t="shared" si="99"/>
        <v>0</v>
      </c>
      <c r="AK141" s="1006"/>
      <c r="AL141" s="1191"/>
      <c r="AM141" s="1191"/>
      <c r="AN141" s="1191"/>
      <c r="AO141" s="1191"/>
      <c r="AP141" s="1008">
        <f t="shared" si="100"/>
        <v>0</v>
      </c>
      <c r="AQ141" s="1009"/>
    </row>
    <row r="142" spans="1:43" ht="21">
      <c r="A142" s="1173"/>
      <c r="B142" s="1192" t="s">
        <v>430</v>
      </c>
      <c r="C142" s="1193" t="s">
        <v>711</v>
      </c>
      <c r="D142" s="1140">
        <v>1</v>
      </c>
      <c r="E142" s="1029"/>
      <c r="F142" s="843"/>
      <c r="G142" s="842">
        <f t="shared" si="101"/>
        <v>0</v>
      </c>
      <c r="H142" s="153"/>
      <c r="I142" s="750">
        <f t="shared" si="102"/>
        <v>0</v>
      </c>
      <c r="J142" s="843"/>
      <c r="K142" s="842">
        <f t="shared" si="103"/>
        <v>0</v>
      </c>
      <c r="L142" s="153"/>
      <c r="M142" s="750">
        <f t="shared" si="116"/>
        <v>0</v>
      </c>
      <c r="N142" s="843"/>
      <c r="O142" s="842">
        <f t="shared" si="117"/>
        <v>0</v>
      </c>
      <c r="P142" s="841"/>
      <c r="Q142" s="750">
        <f t="shared" si="118"/>
        <v>0</v>
      </c>
      <c r="R142" s="153"/>
      <c r="S142" s="750">
        <f t="shared" si="119"/>
        <v>0</v>
      </c>
      <c r="T142" s="153"/>
      <c r="U142" s="750">
        <f t="shared" si="120"/>
        <v>0</v>
      </c>
      <c r="V142" s="843"/>
      <c r="W142" s="842">
        <f t="shared" si="121"/>
        <v>0</v>
      </c>
      <c r="X142" s="153"/>
      <c r="Y142" s="750">
        <f t="shared" si="122"/>
        <v>0</v>
      </c>
      <c r="Z142" s="843"/>
      <c r="AA142" s="842">
        <f t="shared" si="123"/>
        <v>0</v>
      </c>
      <c r="AB142" s="153"/>
      <c r="AC142" s="750">
        <f t="shared" si="124"/>
        <v>0</v>
      </c>
      <c r="AD142" s="844"/>
      <c r="AE142" s="845"/>
      <c r="AF142" s="1151"/>
      <c r="AG142" s="751">
        <f t="shared" si="114"/>
        <v>1</v>
      </c>
      <c r="AH142" s="1015">
        <f t="shared" si="115"/>
        <v>0</v>
      </c>
      <c r="AI142" s="1004">
        <f t="shared" si="113"/>
        <v>0</v>
      </c>
      <c r="AJ142" s="1005">
        <f t="shared" si="99"/>
        <v>0</v>
      </c>
      <c r="AK142" s="1006">
        <v>2</v>
      </c>
      <c r="AL142" s="1007"/>
      <c r="AM142" s="1007"/>
      <c r="AN142" s="1007"/>
      <c r="AO142" s="1007"/>
      <c r="AP142" s="1008">
        <f t="shared" si="100"/>
        <v>2</v>
      </c>
      <c r="AQ142" s="1009"/>
    </row>
    <row r="143" spans="1:43" ht="21" customHeight="1">
      <c r="A143" s="1173" t="s">
        <v>715</v>
      </c>
      <c r="B143" s="1194" t="s">
        <v>178</v>
      </c>
      <c r="C143" s="1174" t="s">
        <v>179</v>
      </c>
      <c r="D143" s="986">
        <v>2</v>
      </c>
      <c r="E143" s="987"/>
      <c r="F143" s="637"/>
      <c r="G143" s="988">
        <f t="shared" si="101"/>
        <v>0</v>
      </c>
      <c r="H143" s="634">
        <v>3</v>
      </c>
      <c r="I143" s="631">
        <f t="shared" si="102"/>
        <v>6</v>
      </c>
      <c r="J143" s="637"/>
      <c r="K143" s="636">
        <f t="shared" si="103"/>
        <v>0</v>
      </c>
      <c r="L143" s="634"/>
      <c r="M143" s="631">
        <f t="shared" si="116"/>
        <v>0</v>
      </c>
      <c r="N143" s="637">
        <v>2</v>
      </c>
      <c r="O143" s="636">
        <f t="shared" si="117"/>
        <v>4</v>
      </c>
      <c r="P143" s="635"/>
      <c r="Q143" s="631">
        <f t="shared" si="118"/>
        <v>0</v>
      </c>
      <c r="R143" s="634"/>
      <c r="S143" s="631">
        <f t="shared" si="119"/>
        <v>0</v>
      </c>
      <c r="T143" s="634"/>
      <c r="U143" s="631">
        <f t="shared" si="120"/>
        <v>0</v>
      </c>
      <c r="V143" s="637"/>
      <c r="W143" s="636">
        <f t="shared" si="121"/>
        <v>0</v>
      </c>
      <c r="X143" s="634"/>
      <c r="Y143" s="631">
        <f t="shared" si="122"/>
        <v>0</v>
      </c>
      <c r="Z143" s="637"/>
      <c r="AA143" s="636">
        <f t="shared" si="123"/>
        <v>0</v>
      </c>
      <c r="AB143" s="634"/>
      <c r="AC143" s="631">
        <f t="shared" si="124"/>
        <v>0</v>
      </c>
      <c r="AD143" s="638">
        <v>1.3</v>
      </c>
      <c r="AE143" s="639"/>
      <c r="AF143" s="1151"/>
      <c r="AG143" s="641">
        <f t="shared" si="114"/>
        <v>0.7</v>
      </c>
      <c r="AH143" s="1025">
        <f t="shared" si="115"/>
        <v>3.5</v>
      </c>
      <c r="AI143" s="1004">
        <f t="shared" si="113"/>
        <v>10</v>
      </c>
      <c r="AJ143" s="1005">
        <f t="shared" si="99"/>
        <v>5</v>
      </c>
      <c r="AK143" s="1006">
        <f>18+3</f>
        <v>21</v>
      </c>
      <c r="AL143" s="1007"/>
      <c r="AM143" s="1007"/>
      <c r="AN143" s="1007"/>
      <c r="AO143" s="1007"/>
      <c r="AP143" s="1008">
        <f t="shared" si="100"/>
        <v>16</v>
      </c>
      <c r="AQ143" s="1009"/>
    </row>
    <row r="144" spans="1:43" ht="20.25">
      <c r="A144" s="1173"/>
      <c r="B144" s="1194"/>
      <c r="C144" s="1161" t="s">
        <v>181</v>
      </c>
      <c r="D144" s="999">
        <v>2</v>
      </c>
      <c r="E144" s="1000"/>
      <c r="F144" s="659">
        <v>1</v>
      </c>
      <c r="G144" s="658">
        <f t="shared" si="101"/>
        <v>2</v>
      </c>
      <c r="H144" s="68">
        <v>4</v>
      </c>
      <c r="I144" s="654">
        <f t="shared" si="102"/>
        <v>8</v>
      </c>
      <c r="J144" s="659">
        <v>5</v>
      </c>
      <c r="K144" s="658">
        <f t="shared" si="103"/>
        <v>10</v>
      </c>
      <c r="L144" s="68"/>
      <c r="M144" s="654">
        <f t="shared" si="116"/>
        <v>0</v>
      </c>
      <c r="N144" s="659">
        <v>8</v>
      </c>
      <c r="O144" s="658">
        <f t="shared" si="117"/>
        <v>16</v>
      </c>
      <c r="P144" s="657"/>
      <c r="Q144" s="654">
        <f t="shared" si="118"/>
        <v>0</v>
      </c>
      <c r="R144" s="68"/>
      <c r="S144" s="654">
        <f t="shared" si="119"/>
        <v>0</v>
      </c>
      <c r="T144" s="68"/>
      <c r="U144" s="654">
        <f t="shared" si="120"/>
        <v>0</v>
      </c>
      <c r="V144" s="659"/>
      <c r="W144" s="658">
        <f t="shared" si="121"/>
        <v>0</v>
      </c>
      <c r="X144" s="68"/>
      <c r="Y144" s="654">
        <f t="shared" si="122"/>
        <v>0</v>
      </c>
      <c r="Z144" s="659"/>
      <c r="AA144" s="658">
        <f t="shared" si="123"/>
        <v>0</v>
      </c>
      <c r="AB144" s="68"/>
      <c r="AC144" s="654">
        <f t="shared" si="124"/>
        <v>0</v>
      </c>
      <c r="AD144" s="660">
        <v>1.3</v>
      </c>
      <c r="AE144" s="661"/>
      <c r="AF144" s="1151"/>
      <c r="AG144" s="662">
        <f t="shared" si="114"/>
        <v>0.7</v>
      </c>
      <c r="AH144" s="1003">
        <f t="shared" si="115"/>
        <v>12.6</v>
      </c>
      <c r="AI144" s="1004">
        <f t="shared" si="113"/>
        <v>36</v>
      </c>
      <c r="AJ144" s="1005">
        <f t="shared" si="99"/>
        <v>18</v>
      </c>
      <c r="AK144" s="1006">
        <v>2</v>
      </c>
      <c r="AL144" s="1007"/>
      <c r="AM144" s="1007"/>
      <c r="AN144" s="1007">
        <v>10</v>
      </c>
      <c r="AO144" s="1007"/>
      <c r="AP144" s="1008">
        <f t="shared" si="100"/>
        <v>-6</v>
      </c>
      <c r="AQ144" s="1009"/>
    </row>
    <row r="145" spans="1:43" ht="20.25">
      <c r="A145" s="1173"/>
      <c r="B145" s="1194"/>
      <c r="C145" s="1161" t="s">
        <v>182</v>
      </c>
      <c r="D145" s="999">
        <v>2</v>
      </c>
      <c r="E145" s="1000"/>
      <c r="F145" s="659"/>
      <c r="G145" s="658">
        <f t="shared" si="101"/>
        <v>0</v>
      </c>
      <c r="H145" s="68">
        <v>1</v>
      </c>
      <c r="I145" s="654">
        <f t="shared" si="102"/>
        <v>2</v>
      </c>
      <c r="J145" s="659">
        <v>1</v>
      </c>
      <c r="K145" s="658">
        <f t="shared" si="103"/>
        <v>2</v>
      </c>
      <c r="L145" s="68"/>
      <c r="M145" s="654">
        <f t="shared" si="116"/>
        <v>0</v>
      </c>
      <c r="N145" s="659">
        <v>1</v>
      </c>
      <c r="O145" s="658">
        <f t="shared" si="117"/>
        <v>2</v>
      </c>
      <c r="P145" s="657"/>
      <c r="Q145" s="654">
        <f t="shared" si="118"/>
        <v>0</v>
      </c>
      <c r="R145" s="68"/>
      <c r="S145" s="654">
        <f t="shared" si="119"/>
        <v>0</v>
      </c>
      <c r="T145" s="68"/>
      <c r="U145" s="654">
        <f t="shared" si="120"/>
        <v>0</v>
      </c>
      <c r="V145" s="659"/>
      <c r="W145" s="658">
        <f t="shared" si="121"/>
        <v>0</v>
      </c>
      <c r="X145" s="68"/>
      <c r="Y145" s="654">
        <f t="shared" si="122"/>
        <v>0</v>
      </c>
      <c r="Z145" s="659"/>
      <c r="AA145" s="658">
        <f t="shared" si="123"/>
        <v>0</v>
      </c>
      <c r="AB145" s="68"/>
      <c r="AC145" s="654">
        <f t="shared" si="124"/>
        <v>0</v>
      </c>
      <c r="AD145" s="660">
        <v>1.3</v>
      </c>
      <c r="AE145" s="661"/>
      <c r="AF145" s="1151"/>
      <c r="AG145" s="662">
        <f t="shared" si="114"/>
        <v>0.7</v>
      </c>
      <c r="AH145" s="1003">
        <f t="shared" si="115"/>
        <v>2.0999999999999996</v>
      </c>
      <c r="AI145" s="1004">
        <f t="shared" si="113"/>
        <v>6</v>
      </c>
      <c r="AJ145" s="1005">
        <f t="shared" si="99"/>
        <v>3</v>
      </c>
      <c r="AK145" s="1006">
        <v>5</v>
      </c>
      <c r="AL145" s="1007"/>
      <c r="AM145" s="1007"/>
      <c r="AN145" s="1007"/>
      <c r="AO145" s="1007"/>
      <c r="AP145" s="1008">
        <f t="shared" si="100"/>
        <v>2</v>
      </c>
      <c r="AQ145" s="1009"/>
    </row>
    <row r="146" spans="1:43" ht="20.25">
      <c r="A146" s="1173"/>
      <c r="B146" s="1194"/>
      <c r="C146" s="1161" t="s">
        <v>183</v>
      </c>
      <c r="D146" s="999">
        <v>2</v>
      </c>
      <c r="E146" s="1000"/>
      <c r="F146" s="659"/>
      <c r="G146" s="658">
        <f t="shared" si="101"/>
        <v>0</v>
      </c>
      <c r="H146" s="68">
        <v>1</v>
      </c>
      <c r="I146" s="654">
        <f t="shared" si="102"/>
        <v>2</v>
      </c>
      <c r="J146" s="659"/>
      <c r="K146" s="658">
        <f t="shared" si="103"/>
        <v>0</v>
      </c>
      <c r="L146" s="68"/>
      <c r="M146" s="654">
        <f t="shared" si="116"/>
        <v>0</v>
      </c>
      <c r="N146" s="659">
        <v>3</v>
      </c>
      <c r="O146" s="658">
        <f t="shared" si="117"/>
        <v>6</v>
      </c>
      <c r="P146" s="657"/>
      <c r="Q146" s="654">
        <f t="shared" si="118"/>
        <v>0</v>
      </c>
      <c r="R146" s="68"/>
      <c r="S146" s="654">
        <f t="shared" si="119"/>
        <v>0</v>
      </c>
      <c r="T146" s="68"/>
      <c r="U146" s="654">
        <f t="shared" si="120"/>
        <v>0</v>
      </c>
      <c r="V146" s="659"/>
      <c r="W146" s="658">
        <f t="shared" si="121"/>
        <v>0</v>
      </c>
      <c r="X146" s="68"/>
      <c r="Y146" s="654">
        <f t="shared" si="122"/>
        <v>0</v>
      </c>
      <c r="Z146" s="659"/>
      <c r="AA146" s="658">
        <f t="shared" si="123"/>
        <v>0</v>
      </c>
      <c r="AB146" s="68"/>
      <c r="AC146" s="654">
        <f t="shared" si="124"/>
        <v>0</v>
      </c>
      <c r="AD146" s="660">
        <v>1.3</v>
      </c>
      <c r="AE146" s="661"/>
      <c r="AF146" s="1151"/>
      <c r="AG146" s="662">
        <f t="shared" si="114"/>
        <v>0.7</v>
      </c>
      <c r="AH146" s="1003">
        <f t="shared" si="115"/>
        <v>2.8</v>
      </c>
      <c r="AI146" s="1004">
        <f t="shared" si="113"/>
        <v>8</v>
      </c>
      <c r="AJ146" s="1005">
        <f t="shared" si="99"/>
        <v>4</v>
      </c>
      <c r="AK146" s="1006">
        <v>1</v>
      </c>
      <c r="AL146" s="1007"/>
      <c r="AM146" s="1007"/>
      <c r="AN146" s="1007"/>
      <c r="AO146" s="1007"/>
      <c r="AP146" s="1008">
        <f t="shared" si="100"/>
        <v>-3</v>
      </c>
      <c r="AQ146" s="1009"/>
    </row>
    <row r="147" spans="1:43" ht="20.25">
      <c r="A147" s="1173"/>
      <c r="B147" s="1194"/>
      <c r="C147" s="1161" t="s">
        <v>185</v>
      </c>
      <c r="D147" s="999">
        <v>2</v>
      </c>
      <c r="E147" s="1000"/>
      <c r="F147" s="659"/>
      <c r="G147" s="658">
        <f t="shared" si="101"/>
        <v>0</v>
      </c>
      <c r="H147" s="68"/>
      <c r="I147" s="654">
        <f t="shared" si="102"/>
        <v>0</v>
      </c>
      <c r="J147" s="659"/>
      <c r="K147" s="658">
        <f t="shared" si="103"/>
        <v>0</v>
      </c>
      <c r="L147" s="68"/>
      <c r="M147" s="654">
        <f t="shared" si="116"/>
        <v>0</v>
      </c>
      <c r="N147" s="659">
        <v>2</v>
      </c>
      <c r="O147" s="658">
        <f t="shared" si="117"/>
        <v>4</v>
      </c>
      <c r="P147" s="657"/>
      <c r="Q147" s="654">
        <f t="shared" si="118"/>
        <v>0</v>
      </c>
      <c r="R147" s="68"/>
      <c r="S147" s="654">
        <f t="shared" si="119"/>
        <v>0</v>
      </c>
      <c r="T147" s="68"/>
      <c r="U147" s="654">
        <f t="shared" si="120"/>
        <v>0</v>
      </c>
      <c r="V147" s="659"/>
      <c r="W147" s="658">
        <f t="shared" si="121"/>
        <v>0</v>
      </c>
      <c r="X147" s="68"/>
      <c r="Y147" s="654">
        <f t="shared" si="122"/>
        <v>0</v>
      </c>
      <c r="Z147" s="659"/>
      <c r="AA147" s="658">
        <f t="shared" si="123"/>
        <v>0</v>
      </c>
      <c r="AB147" s="68"/>
      <c r="AC147" s="654">
        <f t="shared" si="124"/>
        <v>0</v>
      </c>
      <c r="AD147" s="660">
        <v>1.3</v>
      </c>
      <c r="AE147" s="661"/>
      <c r="AF147" s="1151"/>
      <c r="AG147" s="662">
        <f t="shared" si="114"/>
        <v>0.7</v>
      </c>
      <c r="AH147" s="1003">
        <f t="shared" si="115"/>
        <v>1.4</v>
      </c>
      <c r="AI147" s="1004">
        <f t="shared" si="113"/>
        <v>4</v>
      </c>
      <c r="AJ147" s="1005">
        <f t="shared" si="99"/>
        <v>2</v>
      </c>
      <c r="AK147" s="1006">
        <v>0</v>
      </c>
      <c r="AL147" s="1007"/>
      <c r="AM147" s="1007"/>
      <c r="AN147" s="1007"/>
      <c r="AO147" s="1007"/>
      <c r="AP147" s="1008">
        <f t="shared" si="100"/>
        <v>-2</v>
      </c>
      <c r="AQ147" s="1009"/>
    </row>
    <row r="148" spans="1:43" ht="20.25">
      <c r="A148" s="1173"/>
      <c r="B148" s="1194"/>
      <c r="C148" s="1161" t="s">
        <v>186</v>
      </c>
      <c r="D148" s="999">
        <v>2</v>
      </c>
      <c r="E148" s="1000"/>
      <c r="F148" s="659"/>
      <c r="G148" s="658">
        <f t="shared" si="101"/>
        <v>0</v>
      </c>
      <c r="H148" s="68"/>
      <c r="I148" s="654">
        <f t="shared" si="102"/>
        <v>0</v>
      </c>
      <c r="J148" s="659"/>
      <c r="K148" s="658">
        <f t="shared" si="103"/>
        <v>0</v>
      </c>
      <c r="L148" s="68"/>
      <c r="M148" s="654">
        <f t="shared" si="116"/>
        <v>0</v>
      </c>
      <c r="N148" s="659">
        <v>2</v>
      </c>
      <c r="O148" s="658">
        <f t="shared" si="117"/>
        <v>4</v>
      </c>
      <c r="P148" s="657"/>
      <c r="Q148" s="654">
        <f t="shared" si="118"/>
        <v>0</v>
      </c>
      <c r="R148" s="68"/>
      <c r="S148" s="654">
        <f t="shared" si="119"/>
        <v>0</v>
      </c>
      <c r="T148" s="68"/>
      <c r="U148" s="654">
        <f t="shared" si="120"/>
        <v>0</v>
      </c>
      <c r="V148" s="659"/>
      <c r="W148" s="658">
        <f t="shared" si="121"/>
        <v>0</v>
      </c>
      <c r="X148" s="68"/>
      <c r="Y148" s="654">
        <f t="shared" si="122"/>
        <v>0</v>
      </c>
      <c r="Z148" s="659"/>
      <c r="AA148" s="658">
        <f t="shared" si="123"/>
        <v>0</v>
      </c>
      <c r="AB148" s="68"/>
      <c r="AC148" s="654">
        <f t="shared" si="124"/>
        <v>0</v>
      </c>
      <c r="AD148" s="660">
        <v>1.3</v>
      </c>
      <c r="AE148" s="661"/>
      <c r="AF148" s="1151"/>
      <c r="AG148" s="662">
        <f t="shared" si="114"/>
        <v>0.7</v>
      </c>
      <c r="AH148" s="1003">
        <f t="shared" si="115"/>
        <v>1.4</v>
      </c>
      <c r="AI148" s="1004">
        <f t="shared" si="113"/>
        <v>4</v>
      </c>
      <c r="AJ148" s="1005">
        <f t="shared" si="99"/>
        <v>2</v>
      </c>
      <c r="AK148" s="1006">
        <v>0</v>
      </c>
      <c r="AL148" s="1007"/>
      <c r="AM148" s="1007"/>
      <c r="AN148" s="1007"/>
      <c r="AO148" s="1007"/>
      <c r="AP148" s="1008">
        <f t="shared" si="100"/>
        <v>-2</v>
      </c>
      <c r="AQ148" s="1009"/>
    </row>
    <row r="149" spans="1:43" ht="20.25">
      <c r="A149" s="1173"/>
      <c r="B149" s="1194"/>
      <c r="C149" s="1161" t="s">
        <v>563</v>
      </c>
      <c r="D149" s="999">
        <v>2</v>
      </c>
      <c r="E149" s="1000"/>
      <c r="F149" s="659"/>
      <c r="G149" s="658">
        <f t="shared" si="101"/>
        <v>0</v>
      </c>
      <c r="H149" s="68">
        <v>2</v>
      </c>
      <c r="I149" s="654">
        <f t="shared" si="102"/>
        <v>4</v>
      </c>
      <c r="J149" s="659">
        <v>2</v>
      </c>
      <c r="K149" s="658">
        <f t="shared" si="103"/>
        <v>4</v>
      </c>
      <c r="L149" s="68"/>
      <c r="M149" s="654">
        <f t="shared" si="116"/>
        <v>0</v>
      </c>
      <c r="N149" s="659">
        <v>1</v>
      </c>
      <c r="O149" s="658">
        <f t="shared" si="117"/>
        <v>2</v>
      </c>
      <c r="P149" s="657"/>
      <c r="Q149" s="654">
        <f t="shared" si="118"/>
        <v>0</v>
      </c>
      <c r="R149" s="68"/>
      <c r="S149" s="654">
        <f t="shared" si="119"/>
        <v>0</v>
      </c>
      <c r="T149" s="68"/>
      <c r="U149" s="654">
        <f t="shared" si="120"/>
        <v>0</v>
      </c>
      <c r="V149" s="659"/>
      <c r="W149" s="658">
        <f t="shared" si="121"/>
        <v>0</v>
      </c>
      <c r="X149" s="68"/>
      <c r="Y149" s="654">
        <f t="shared" si="122"/>
        <v>0</v>
      </c>
      <c r="Z149" s="659"/>
      <c r="AA149" s="658">
        <f t="shared" si="123"/>
        <v>0</v>
      </c>
      <c r="AB149" s="68"/>
      <c r="AC149" s="654">
        <f t="shared" si="124"/>
        <v>0</v>
      </c>
      <c r="AD149" s="660">
        <v>1.3</v>
      </c>
      <c r="AE149" s="661"/>
      <c r="AF149" s="1151"/>
      <c r="AG149" s="662">
        <f t="shared" si="114"/>
        <v>0.7</v>
      </c>
      <c r="AH149" s="1003">
        <f t="shared" si="115"/>
        <v>3.5</v>
      </c>
      <c r="AI149" s="1004">
        <f t="shared" si="113"/>
        <v>10</v>
      </c>
      <c r="AJ149" s="1005">
        <f t="shared" si="99"/>
        <v>5</v>
      </c>
      <c r="AK149" s="1006">
        <v>14</v>
      </c>
      <c r="AL149" s="1007"/>
      <c r="AM149" s="1007"/>
      <c r="AN149" s="1007"/>
      <c r="AO149" s="1007"/>
      <c r="AP149" s="1008">
        <f t="shared" si="100"/>
        <v>9</v>
      </c>
      <c r="AQ149" s="1009"/>
    </row>
    <row r="150" spans="1:43" ht="20.25">
      <c r="A150" s="1173"/>
      <c r="B150" s="1194"/>
      <c r="C150" s="1161" t="s">
        <v>716</v>
      </c>
      <c r="D150" s="999">
        <v>2</v>
      </c>
      <c r="E150" s="1000"/>
      <c r="F150" s="659"/>
      <c r="G150" s="658">
        <f t="shared" si="101"/>
        <v>0</v>
      </c>
      <c r="H150" s="68"/>
      <c r="I150" s="654">
        <f t="shared" si="102"/>
        <v>0</v>
      </c>
      <c r="J150" s="659"/>
      <c r="K150" s="658">
        <f t="shared" si="103"/>
        <v>0</v>
      </c>
      <c r="L150" s="68"/>
      <c r="M150" s="654">
        <f t="shared" si="116"/>
        <v>0</v>
      </c>
      <c r="N150" s="659"/>
      <c r="O150" s="658">
        <f t="shared" si="117"/>
        <v>0</v>
      </c>
      <c r="P150" s="657"/>
      <c r="Q150" s="654">
        <f t="shared" si="118"/>
        <v>0</v>
      </c>
      <c r="R150" s="68"/>
      <c r="S150" s="654">
        <f t="shared" si="119"/>
        <v>0</v>
      </c>
      <c r="T150" s="68"/>
      <c r="U150" s="654">
        <f t="shared" si="120"/>
        <v>0</v>
      </c>
      <c r="V150" s="659"/>
      <c r="W150" s="658">
        <f t="shared" si="121"/>
        <v>0</v>
      </c>
      <c r="X150" s="68"/>
      <c r="Y150" s="654">
        <f t="shared" si="122"/>
        <v>0</v>
      </c>
      <c r="Z150" s="659"/>
      <c r="AA150" s="658">
        <f t="shared" si="123"/>
        <v>0</v>
      </c>
      <c r="AB150" s="68"/>
      <c r="AC150" s="654">
        <f t="shared" si="124"/>
        <v>0</v>
      </c>
      <c r="AD150" s="660">
        <v>1.3</v>
      </c>
      <c r="AE150" s="661"/>
      <c r="AF150" s="1151"/>
      <c r="AG150" s="662">
        <f t="shared" si="114"/>
        <v>0.7</v>
      </c>
      <c r="AH150" s="1003">
        <f t="shared" si="115"/>
        <v>0</v>
      </c>
      <c r="AI150" s="1004">
        <f t="shared" si="113"/>
        <v>0</v>
      </c>
      <c r="AJ150" s="1005">
        <f t="shared" si="99"/>
        <v>0</v>
      </c>
      <c r="AK150" s="1006">
        <v>0</v>
      </c>
      <c r="AL150" s="1007"/>
      <c r="AM150" s="1007"/>
      <c r="AN150" s="1007"/>
      <c r="AO150" s="1007"/>
      <c r="AP150" s="1008">
        <f t="shared" si="100"/>
        <v>0</v>
      </c>
      <c r="AQ150" s="1009"/>
    </row>
    <row r="151" spans="1:43" ht="20.25">
      <c r="A151" s="1173"/>
      <c r="B151" s="1194"/>
      <c r="C151" s="1161" t="s">
        <v>189</v>
      </c>
      <c r="D151" s="999">
        <v>2</v>
      </c>
      <c r="E151" s="1000"/>
      <c r="F151" s="659"/>
      <c r="G151" s="658">
        <f t="shared" si="101"/>
        <v>0</v>
      </c>
      <c r="H151" s="68">
        <v>1</v>
      </c>
      <c r="I151" s="654">
        <f t="shared" si="102"/>
        <v>2</v>
      </c>
      <c r="J151" s="659"/>
      <c r="K151" s="658">
        <f t="shared" si="103"/>
        <v>0</v>
      </c>
      <c r="L151" s="68"/>
      <c r="M151" s="654">
        <f t="shared" si="116"/>
        <v>0</v>
      </c>
      <c r="N151" s="659">
        <v>2</v>
      </c>
      <c r="O151" s="658">
        <f t="shared" si="117"/>
        <v>4</v>
      </c>
      <c r="P151" s="657"/>
      <c r="Q151" s="654">
        <f t="shared" si="118"/>
        <v>0</v>
      </c>
      <c r="R151" s="68"/>
      <c r="S151" s="654">
        <f t="shared" si="119"/>
        <v>0</v>
      </c>
      <c r="T151" s="68"/>
      <c r="U151" s="654">
        <f t="shared" si="120"/>
        <v>0</v>
      </c>
      <c r="V151" s="659"/>
      <c r="W151" s="658">
        <f t="shared" si="121"/>
        <v>0</v>
      </c>
      <c r="X151" s="68"/>
      <c r="Y151" s="654">
        <f t="shared" si="122"/>
        <v>0</v>
      </c>
      <c r="Z151" s="659"/>
      <c r="AA151" s="658">
        <f t="shared" si="123"/>
        <v>0</v>
      </c>
      <c r="AB151" s="68"/>
      <c r="AC151" s="654">
        <f t="shared" si="124"/>
        <v>0</v>
      </c>
      <c r="AD151" s="660">
        <v>1.3</v>
      </c>
      <c r="AE151" s="661"/>
      <c r="AF151" s="1151"/>
      <c r="AG151" s="662">
        <f t="shared" si="114"/>
        <v>0.7</v>
      </c>
      <c r="AH151" s="1003">
        <f t="shared" si="115"/>
        <v>2.0999999999999996</v>
      </c>
      <c r="AI151" s="1004">
        <f t="shared" si="113"/>
        <v>6</v>
      </c>
      <c r="AJ151" s="1005">
        <f t="shared" si="99"/>
        <v>3</v>
      </c>
      <c r="AK151" s="1006">
        <v>1</v>
      </c>
      <c r="AL151" s="1007"/>
      <c r="AM151" s="1007"/>
      <c r="AN151" s="1007"/>
      <c r="AO151" s="1007"/>
      <c r="AP151" s="1008">
        <f t="shared" si="100"/>
        <v>-2</v>
      </c>
      <c r="AQ151" s="1009"/>
    </row>
    <row r="152" spans="1:43" ht="20.25">
      <c r="A152" s="1173"/>
      <c r="B152" s="1194"/>
      <c r="C152" s="1161" t="s">
        <v>194</v>
      </c>
      <c r="D152" s="999">
        <v>2</v>
      </c>
      <c r="E152" s="1000"/>
      <c r="F152" s="659"/>
      <c r="G152" s="658">
        <f t="shared" si="101"/>
        <v>0</v>
      </c>
      <c r="H152" s="68"/>
      <c r="I152" s="654">
        <f t="shared" si="102"/>
        <v>0</v>
      </c>
      <c r="J152" s="659"/>
      <c r="K152" s="658">
        <f t="shared" si="103"/>
        <v>0</v>
      </c>
      <c r="L152" s="68"/>
      <c r="M152" s="654">
        <f t="shared" si="116"/>
        <v>0</v>
      </c>
      <c r="N152" s="659"/>
      <c r="O152" s="658">
        <f t="shared" si="117"/>
        <v>0</v>
      </c>
      <c r="P152" s="657"/>
      <c r="Q152" s="654">
        <f t="shared" si="118"/>
        <v>0</v>
      </c>
      <c r="R152" s="68"/>
      <c r="S152" s="654">
        <f t="shared" si="119"/>
        <v>0</v>
      </c>
      <c r="T152" s="68"/>
      <c r="U152" s="654">
        <f t="shared" si="120"/>
        <v>0</v>
      </c>
      <c r="V152" s="659"/>
      <c r="W152" s="658">
        <f t="shared" si="121"/>
        <v>0</v>
      </c>
      <c r="X152" s="68"/>
      <c r="Y152" s="654">
        <f t="shared" si="122"/>
        <v>0</v>
      </c>
      <c r="Z152" s="659"/>
      <c r="AA152" s="658">
        <f t="shared" si="123"/>
        <v>0</v>
      </c>
      <c r="AB152" s="68"/>
      <c r="AC152" s="654">
        <f t="shared" si="124"/>
        <v>0</v>
      </c>
      <c r="AD152" s="660">
        <v>1.3</v>
      </c>
      <c r="AE152" s="661"/>
      <c r="AF152" s="1151"/>
      <c r="AG152" s="662">
        <f t="shared" si="114"/>
        <v>0.7</v>
      </c>
      <c r="AH152" s="1003">
        <f t="shared" si="115"/>
        <v>0</v>
      </c>
      <c r="AI152" s="1004">
        <f t="shared" si="113"/>
        <v>0</v>
      </c>
      <c r="AJ152" s="1005">
        <f t="shared" si="99"/>
        <v>0</v>
      </c>
      <c r="AK152" s="1006">
        <v>8</v>
      </c>
      <c r="AL152" s="1007"/>
      <c r="AM152" s="1007"/>
      <c r="AN152" s="1007"/>
      <c r="AO152" s="1007"/>
      <c r="AP152" s="1008">
        <f t="shared" si="100"/>
        <v>8</v>
      </c>
      <c r="AQ152" s="1009"/>
    </row>
    <row r="153" spans="1:43" ht="20.25">
      <c r="A153" s="1173"/>
      <c r="B153" s="1194"/>
      <c r="C153" s="1161" t="s">
        <v>195</v>
      </c>
      <c r="D153" s="999">
        <v>2</v>
      </c>
      <c r="E153" s="1000"/>
      <c r="F153" s="659"/>
      <c r="G153" s="658">
        <f t="shared" si="101"/>
        <v>0</v>
      </c>
      <c r="H153" s="68"/>
      <c r="I153" s="654">
        <f t="shared" si="102"/>
        <v>0</v>
      </c>
      <c r="J153" s="659">
        <v>1</v>
      </c>
      <c r="K153" s="658">
        <f t="shared" si="103"/>
        <v>2</v>
      </c>
      <c r="L153" s="68"/>
      <c r="M153" s="654">
        <f t="shared" si="116"/>
        <v>0</v>
      </c>
      <c r="N153" s="659">
        <v>1</v>
      </c>
      <c r="O153" s="658">
        <f t="shared" si="117"/>
        <v>2</v>
      </c>
      <c r="P153" s="657"/>
      <c r="Q153" s="654">
        <f t="shared" si="118"/>
        <v>0</v>
      </c>
      <c r="R153" s="68"/>
      <c r="S153" s="654">
        <f t="shared" si="119"/>
        <v>0</v>
      </c>
      <c r="T153" s="68"/>
      <c r="U153" s="654">
        <f t="shared" si="120"/>
        <v>0</v>
      </c>
      <c r="V153" s="659"/>
      <c r="W153" s="658">
        <f t="shared" si="121"/>
        <v>0</v>
      </c>
      <c r="X153" s="68"/>
      <c r="Y153" s="654">
        <f t="shared" si="122"/>
        <v>0</v>
      </c>
      <c r="Z153" s="659"/>
      <c r="AA153" s="658">
        <f t="shared" si="123"/>
        <v>0</v>
      </c>
      <c r="AB153" s="68"/>
      <c r="AC153" s="654">
        <f t="shared" si="124"/>
        <v>0</v>
      </c>
      <c r="AD153" s="660">
        <v>1.3</v>
      </c>
      <c r="AE153" s="661"/>
      <c r="AF153" s="1151"/>
      <c r="AG153" s="662">
        <f t="shared" si="114"/>
        <v>0.7</v>
      </c>
      <c r="AH153" s="1003">
        <f t="shared" si="115"/>
        <v>1.4</v>
      </c>
      <c r="AI153" s="1004">
        <f t="shared" si="113"/>
        <v>4</v>
      </c>
      <c r="AJ153" s="1005">
        <f t="shared" si="99"/>
        <v>2</v>
      </c>
      <c r="AK153" s="1006">
        <v>6</v>
      </c>
      <c r="AL153" s="1007"/>
      <c r="AM153" s="1007"/>
      <c r="AN153" s="1007"/>
      <c r="AO153" s="1007"/>
      <c r="AP153" s="1008">
        <f t="shared" si="100"/>
        <v>4</v>
      </c>
      <c r="AQ153" s="1009"/>
    </row>
    <row r="154" spans="1:43" ht="20.25">
      <c r="A154" s="1173"/>
      <c r="B154" s="1194"/>
      <c r="C154" s="1161" t="s">
        <v>717</v>
      </c>
      <c r="D154" s="999">
        <v>2</v>
      </c>
      <c r="E154" s="1000"/>
      <c r="F154" s="659"/>
      <c r="G154" s="658">
        <f t="shared" si="101"/>
        <v>0</v>
      </c>
      <c r="H154" s="68">
        <v>2</v>
      </c>
      <c r="I154" s="654">
        <f t="shared" si="102"/>
        <v>4</v>
      </c>
      <c r="J154" s="659">
        <v>1</v>
      </c>
      <c r="K154" s="658">
        <f t="shared" si="103"/>
        <v>2</v>
      </c>
      <c r="L154" s="68"/>
      <c r="M154" s="654">
        <f t="shared" si="116"/>
        <v>0</v>
      </c>
      <c r="N154" s="659">
        <v>1</v>
      </c>
      <c r="O154" s="658">
        <f t="shared" si="117"/>
        <v>2</v>
      </c>
      <c r="P154" s="657"/>
      <c r="Q154" s="654">
        <f t="shared" si="118"/>
        <v>0</v>
      </c>
      <c r="R154" s="68"/>
      <c r="S154" s="654">
        <f t="shared" si="119"/>
        <v>0</v>
      </c>
      <c r="T154" s="68"/>
      <c r="U154" s="654">
        <f t="shared" si="120"/>
        <v>0</v>
      </c>
      <c r="V154" s="659"/>
      <c r="W154" s="658">
        <f t="shared" si="121"/>
        <v>0</v>
      </c>
      <c r="X154" s="68"/>
      <c r="Y154" s="654">
        <f t="shared" si="122"/>
        <v>0</v>
      </c>
      <c r="Z154" s="659"/>
      <c r="AA154" s="658">
        <f t="shared" si="123"/>
        <v>0</v>
      </c>
      <c r="AB154" s="68"/>
      <c r="AC154" s="654">
        <f t="shared" si="124"/>
        <v>0</v>
      </c>
      <c r="AD154" s="660">
        <v>1.3</v>
      </c>
      <c r="AE154" s="661"/>
      <c r="AF154" s="1151"/>
      <c r="AG154" s="662">
        <f t="shared" si="114"/>
        <v>0.7</v>
      </c>
      <c r="AH154" s="1003">
        <f t="shared" si="115"/>
        <v>2.8</v>
      </c>
      <c r="AI154" s="1004">
        <f t="shared" si="113"/>
        <v>8</v>
      </c>
      <c r="AJ154" s="1005">
        <f t="shared" si="99"/>
        <v>4</v>
      </c>
      <c r="AK154" s="1006">
        <v>7</v>
      </c>
      <c r="AL154" s="1007"/>
      <c r="AM154" s="1007"/>
      <c r="AN154" s="1007"/>
      <c r="AO154" s="1007"/>
      <c r="AP154" s="1008">
        <f t="shared" si="100"/>
        <v>3</v>
      </c>
      <c r="AQ154" s="1009"/>
    </row>
    <row r="155" spans="1:43" ht="21">
      <c r="A155" s="1173"/>
      <c r="B155" s="1194"/>
      <c r="C155" s="1172" t="s">
        <v>718</v>
      </c>
      <c r="D155" s="1032">
        <v>2</v>
      </c>
      <c r="E155" s="1033"/>
      <c r="F155" s="683"/>
      <c r="G155" s="682">
        <f t="shared" si="101"/>
        <v>0</v>
      </c>
      <c r="H155" s="680"/>
      <c r="I155" s="677">
        <f t="shared" si="102"/>
        <v>0</v>
      </c>
      <c r="J155" s="683">
        <v>2</v>
      </c>
      <c r="K155" s="682">
        <f t="shared" si="103"/>
        <v>4</v>
      </c>
      <c r="L155" s="680"/>
      <c r="M155" s="677">
        <f t="shared" si="116"/>
        <v>0</v>
      </c>
      <c r="N155" s="683">
        <v>2</v>
      </c>
      <c r="O155" s="682">
        <f t="shared" si="117"/>
        <v>4</v>
      </c>
      <c r="P155" s="681"/>
      <c r="Q155" s="677">
        <f t="shared" si="118"/>
        <v>0</v>
      </c>
      <c r="R155" s="680"/>
      <c r="S155" s="677">
        <f t="shared" si="119"/>
        <v>0</v>
      </c>
      <c r="T155" s="680"/>
      <c r="U155" s="677">
        <f t="shared" si="120"/>
        <v>0</v>
      </c>
      <c r="V155" s="683"/>
      <c r="W155" s="682">
        <f t="shared" si="121"/>
        <v>0</v>
      </c>
      <c r="X155" s="680"/>
      <c r="Y155" s="677">
        <f t="shared" si="122"/>
        <v>0</v>
      </c>
      <c r="Z155" s="683"/>
      <c r="AA155" s="682">
        <f t="shared" si="123"/>
        <v>0</v>
      </c>
      <c r="AB155" s="680"/>
      <c r="AC155" s="677">
        <f t="shared" si="124"/>
        <v>0</v>
      </c>
      <c r="AD155" s="684">
        <v>1.3</v>
      </c>
      <c r="AE155" s="685"/>
      <c r="AF155" s="1151"/>
      <c r="AG155" s="686">
        <f t="shared" si="114"/>
        <v>0.7</v>
      </c>
      <c r="AH155" s="1055">
        <f t="shared" si="115"/>
        <v>2.8</v>
      </c>
      <c r="AI155" s="1058">
        <f t="shared" si="113"/>
        <v>8</v>
      </c>
      <c r="AJ155" s="1040">
        <f t="shared" si="99"/>
        <v>4</v>
      </c>
      <c r="AK155" s="1041">
        <v>6</v>
      </c>
      <c r="AL155" s="1042"/>
      <c r="AM155" s="1042"/>
      <c r="AN155" s="1042"/>
      <c r="AO155" s="1042"/>
      <c r="AP155" s="1043">
        <f t="shared" si="100"/>
        <v>2</v>
      </c>
      <c r="AQ155" s="1044"/>
    </row>
    <row r="156" spans="1:43" ht="21.75" customHeight="1">
      <c r="A156" s="1173" t="s">
        <v>719</v>
      </c>
      <c r="B156" s="1195" t="s">
        <v>720</v>
      </c>
      <c r="C156" s="1196" t="s">
        <v>568</v>
      </c>
      <c r="D156" s="1197">
        <v>24.9</v>
      </c>
      <c r="E156" s="1198"/>
      <c r="F156" s="1199"/>
      <c r="G156" s="1200">
        <f t="shared" si="101"/>
        <v>0</v>
      </c>
      <c r="H156" s="24">
        <v>1</v>
      </c>
      <c r="I156" s="1201">
        <f t="shared" si="102"/>
        <v>24.9</v>
      </c>
      <c r="J156" s="1199"/>
      <c r="K156" s="1202">
        <f t="shared" si="103"/>
        <v>0</v>
      </c>
      <c r="L156" s="24"/>
      <c r="M156" s="1201">
        <f t="shared" si="116"/>
        <v>0</v>
      </c>
      <c r="N156" s="1199"/>
      <c r="O156" s="1202">
        <f t="shared" si="117"/>
        <v>0</v>
      </c>
      <c r="P156" s="1203"/>
      <c r="Q156" s="1201">
        <f t="shared" si="118"/>
        <v>0</v>
      </c>
      <c r="R156" s="24"/>
      <c r="S156" s="1201">
        <f t="shared" si="119"/>
        <v>0</v>
      </c>
      <c r="T156" s="24"/>
      <c r="U156" s="1201">
        <f t="shared" si="120"/>
        <v>0</v>
      </c>
      <c r="V156" s="1199"/>
      <c r="W156" s="1202">
        <f t="shared" si="121"/>
        <v>0</v>
      </c>
      <c r="X156" s="24"/>
      <c r="Y156" s="1201">
        <f t="shared" si="122"/>
        <v>0</v>
      </c>
      <c r="Z156" s="1199"/>
      <c r="AA156" s="1202">
        <f t="shared" si="123"/>
        <v>0</v>
      </c>
      <c r="AB156" s="24"/>
      <c r="AC156" s="1201">
        <f t="shared" si="124"/>
        <v>0</v>
      </c>
      <c r="AD156" s="1204">
        <v>20.5</v>
      </c>
      <c r="AE156" s="901"/>
      <c r="AF156" s="1205"/>
      <c r="AG156" s="1206">
        <f t="shared" si="114"/>
        <v>4.399999999999999</v>
      </c>
      <c r="AH156" s="1207">
        <f t="shared" si="115"/>
        <v>4.399999999999999</v>
      </c>
      <c r="AI156" s="992">
        <f t="shared" si="113"/>
        <v>24.9</v>
      </c>
      <c r="AJ156" s="993">
        <f t="shared" si="99"/>
        <v>1</v>
      </c>
      <c r="AK156" s="994">
        <v>2</v>
      </c>
      <c r="AL156" s="995"/>
      <c r="AM156" s="995"/>
      <c r="AN156" s="995"/>
      <c r="AO156" s="995"/>
      <c r="AP156" s="996">
        <f t="shared" si="100"/>
        <v>1</v>
      </c>
      <c r="AQ156" s="997"/>
    </row>
    <row r="157" spans="1:43" ht="32.25">
      <c r="A157" s="1173"/>
      <c r="B157" s="1208" t="s">
        <v>721</v>
      </c>
      <c r="C157" s="1120" t="s">
        <v>722</v>
      </c>
      <c r="D157" s="1018">
        <v>15</v>
      </c>
      <c r="E157" s="1019"/>
      <c r="F157" s="729"/>
      <c r="G157" s="1209">
        <f t="shared" si="101"/>
        <v>0</v>
      </c>
      <c r="H157" s="49"/>
      <c r="I157" s="724">
        <f t="shared" si="102"/>
        <v>0</v>
      </c>
      <c r="J157" s="729"/>
      <c r="K157" s="728">
        <f t="shared" si="103"/>
        <v>0</v>
      </c>
      <c r="L157" s="49"/>
      <c r="M157" s="724">
        <f t="shared" si="116"/>
        <v>0</v>
      </c>
      <c r="N157" s="729"/>
      <c r="O157" s="728">
        <f t="shared" si="117"/>
        <v>0</v>
      </c>
      <c r="P157" s="727"/>
      <c r="Q157" s="724">
        <f t="shared" si="118"/>
        <v>0</v>
      </c>
      <c r="R157" s="49"/>
      <c r="S157" s="724">
        <f t="shared" si="119"/>
        <v>0</v>
      </c>
      <c r="T157" s="49"/>
      <c r="U157" s="724">
        <f t="shared" si="120"/>
        <v>0</v>
      </c>
      <c r="V157" s="729"/>
      <c r="W157" s="728">
        <f t="shared" si="121"/>
        <v>0</v>
      </c>
      <c r="X157" s="49"/>
      <c r="Y157" s="724">
        <f t="shared" si="122"/>
        <v>0</v>
      </c>
      <c r="Z157" s="729"/>
      <c r="AA157" s="728">
        <f t="shared" si="123"/>
        <v>0</v>
      </c>
      <c r="AB157" s="49"/>
      <c r="AC157" s="724">
        <f t="shared" si="124"/>
        <v>0</v>
      </c>
      <c r="AD157" s="730">
        <v>9.95</v>
      </c>
      <c r="AE157" s="731">
        <f>(AD157*5.5)/100+AD157</f>
        <v>10.49725</v>
      </c>
      <c r="AF157" s="1054">
        <v>0.055</v>
      </c>
      <c r="AG157" s="1122">
        <f t="shared" si="114"/>
        <v>5.050000000000001</v>
      </c>
      <c r="AH157" s="1025">
        <f t="shared" si="115"/>
        <v>0</v>
      </c>
      <c r="AI157" s="1004">
        <f t="shared" si="113"/>
        <v>0</v>
      </c>
      <c r="AJ157" s="1005">
        <f t="shared" si="99"/>
        <v>0</v>
      </c>
      <c r="AK157" s="1006">
        <v>0</v>
      </c>
      <c r="AL157" s="1007"/>
      <c r="AM157" s="1007"/>
      <c r="AN157" s="1007"/>
      <c r="AO157" s="1007"/>
      <c r="AP157" s="1008">
        <f t="shared" si="100"/>
        <v>0</v>
      </c>
      <c r="AQ157" s="1009"/>
    </row>
    <row r="158" spans="1:43" ht="21" customHeight="1">
      <c r="A158" s="1173"/>
      <c r="B158" s="1210"/>
      <c r="C158" s="1211" t="s">
        <v>366</v>
      </c>
      <c r="D158" s="999">
        <v>3</v>
      </c>
      <c r="E158" s="1000"/>
      <c r="F158" s="659"/>
      <c r="G158" s="658">
        <f t="shared" si="101"/>
        <v>0</v>
      </c>
      <c r="H158" s="68"/>
      <c r="I158" s="654">
        <f t="shared" si="102"/>
        <v>0</v>
      </c>
      <c r="J158" s="659">
        <v>1</v>
      </c>
      <c r="K158" s="658">
        <f t="shared" si="103"/>
        <v>3</v>
      </c>
      <c r="L158" s="68"/>
      <c r="M158" s="654">
        <f t="shared" si="116"/>
        <v>0</v>
      </c>
      <c r="N158" s="659">
        <v>1</v>
      </c>
      <c r="O158" s="658">
        <f t="shared" si="117"/>
        <v>3</v>
      </c>
      <c r="P158" s="657"/>
      <c r="Q158" s="654">
        <f t="shared" si="118"/>
        <v>0</v>
      </c>
      <c r="R158" s="68"/>
      <c r="S158" s="654">
        <f t="shared" si="119"/>
        <v>0</v>
      </c>
      <c r="T158" s="68"/>
      <c r="U158" s="654">
        <f t="shared" si="120"/>
        <v>0</v>
      </c>
      <c r="V158" s="659"/>
      <c r="W158" s="658">
        <f t="shared" si="121"/>
        <v>0</v>
      </c>
      <c r="X158" s="68"/>
      <c r="Y158" s="654">
        <f t="shared" si="122"/>
        <v>0</v>
      </c>
      <c r="Z158" s="659"/>
      <c r="AA158" s="658">
        <f t="shared" si="123"/>
        <v>0</v>
      </c>
      <c r="AB158" s="68"/>
      <c r="AC158" s="654">
        <f t="shared" si="124"/>
        <v>0</v>
      </c>
      <c r="AD158" s="826"/>
      <c r="AE158" s="868"/>
      <c r="AF158" s="1212"/>
      <c r="AG158" s="662">
        <f t="shared" si="114"/>
        <v>3</v>
      </c>
      <c r="AH158" s="1003">
        <f t="shared" si="115"/>
        <v>6</v>
      </c>
      <c r="AI158" s="1004">
        <f t="shared" si="113"/>
        <v>6</v>
      </c>
      <c r="AJ158" s="1005">
        <f t="shared" si="99"/>
        <v>2</v>
      </c>
      <c r="AK158" s="1006">
        <v>4</v>
      </c>
      <c r="AL158" s="1213"/>
      <c r="AM158" s="1213"/>
      <c r="AN158" s="1213"/>
      <c r="AO158" s="1213"/>
      <c r="AP158" s="1008">
        <f t="shared" si="100"/>
        <v>2</v>
      </c>
      <c r="AQ158" s="1009"/>
    </row>
    <row r="159" spans="1:43" ht="20.25">
      <c r="A159" s="1173"/>
      <c r="B159" s="1210"/>
      <c r="C159" s="1159" t="s">
        <v>723</v>
      </c>
      <c r="D159" s="999">
        <v>10</v>
      </c>
      <c r="E159" s="1000"/>
      <c r="F159" s="659"/>
      <c r="G159" s="658">
        <f t="shared" si="101"/>
        <v>0</v>
      </c>
      <c r="H159" s="68"/>
      <c r="I159" s="654">
        <f t="shared" si="102"/>
        <v>0</v>
      </c>
      <c r="J159" s="659"/>
      <c r="K159" s="658">
        <f t="shared" si="103"/>
        <v>0</v>
      </c>
      <c r="L159" s="68"/>
      <c r="M159" s="654">
        <f t="shared" si="116"/>
        <v>0</v>
      </c>
      <c r="N159" s="659"/>
      <c r="O159" s="658">
        <f t="shared" si="117"/>
        <v>0</v>
      </c>
      <c r="P159" s="657"/>
      <c r="Q159" s="654">
        <f t="shared" si="118"/>
        <v>0</v>
      </c>
      <c r="R159" s="68"/>
      <c r="S159" s="654">
        <f t="shared" si="119"/>
        <v>0</v>
      </c>
      <c r="T159" s="68"/>
      <c r="U159" s="654">
        <f t="shared" si="120"/>
        <v>0</v>
      </c>
      <c r="V159" s="659"/>
      <c r="W159" s="658">
        <f t="shared" si="121"/>
        <v>0</v>
      </c>
      <c r="X159" s="68"/>
      <c r="Y159" s="654">
        <f t="shared" si="122"/>
        <v>0</v>
      </c>
      <c r="Z159" s="659"/>
      <c r="AA159" s="658">
        <f t="shared" si="123"/>
        <v>0</v>
      </c>
      <c r="AB159" s="68"/>
      <c r="AC159" s="654">
        <f t="shared" si="124"/>
        <v>0</v>
      </c>
      <c r="AD159" s="660">
        <v>5.02</v>
      </c>
      <c r="AE159" s="661"/>
      <c r="AF159" s="1212"/>
      <c r="AG159" s="662">
        <f t="shared" si="114"/>
        <v>4.98</v>
      </c>
      <c r="AH159" s="1003">
        <f t="shared" si="115"/>
        <v>0</v>
      </c>
      <c r="AI159" s="1004">
        <f t="shared" si="113"/>
        <v>0</v>
      </c>
      <c r="AJ159" s="1005">
        <f t="shared" si="99"/>
        <v>0</v>
      </c>
      <c r="AK159" s="1006">
        <v>1</v>
      </c>
      <c r="AL159" s="1213"/>
      <c r="AM159" s="1213"/>
      <c r="AN159" s="1213"/>
      <c r="AO159" s="1213"/>
      <c r="AP159" s="1008">
        <f t="shared" si="100"/>
        <v>1</v>
      </c>
      <c r="AQ159" s="1009"/>
    </row>
    <row r="160" spans="1:44" ht="30">
      <c r="A160" s="1173"/>
      <c r="B160" s="1210"/>
      <c r="C160" s="1214" t="s">
        <v>724</v>
      </c>
      <c r="D160" s="999">
        <v>12</v>
      </c>
      <c r="E160" s="1000"/>
      <c r="F160" s="659"/>
      <c r="G160" s="658">
        <f t="shared" si="101"/>
        <v>0</v>
      </c>
      <c r="H160" s="68"/>
      <c r="I160" s="654">
        <f t="shared" si="102"/>
        <v>0</v>
      </c>
      <c r="J160" s="659">
        <v>1</v>
      </c>
      <c r="K160" s="658">
        <f t="shared" si="103"/>
        <v>12</v>
      </c>
      <c r="L160" s="68"/>
      <c r="M160" s="654">
        <f t="shared" si="116"/>
        <v>0</v>
      </c>
      <c r="N160" s="659">
        <v>1</v>
      </c>
      <c r="O160" s="658">
        <f t="shared" si="117"/>
        <v>12</v>
      </c>
      <c r="P160" s="657"/>
      <c r="Q160" s="654">
        <f t="shared" si="118"/>
        <v>0</v>
      </c>
      <c r="R160" s="68"/>
      <c r="S160" s="654">
        <f t="shared" si="119"/>
        <v>0</v>
      </c>
      <c r="T160" s="68"/>
      <c r="U160" s="654">
        <f t="shared" si="120"/>
        <v>0</v>
      </c>
      <c r="V160" s="659"/>
      <c r="W160" s="658">
        <f t="shared" si="121"/>
        <v>0</v>
      </c>
      <c r="X160" s="68"/>
      <c r="Y160" s="654">
        <f t="shared" si="122"/>
        <v>0</v>
      </c>
      <c r="Z160" s="659"/>
      <c r="AA160" s="658">
        <f t="shared" si="123"/>
        <v>0</v>
      </c>
      <c r="AB160" s="68"/>
      <c r="AC160" s="654">
        <f t="shared" si="124"/>
        <v>0</v>
      </c>
      <c r="AD160" s="660">
        <v>7.8</v>
      </c>
      <c r="AE160" s="661"/>
      <c r="AF160" s="1212"/>
      <c r="AG160" s="662">
        <f t="shared" si="114"/>
        <v>4.2</v>
      </c>
      <c r="AH160" s="1003">
        <f t="shared" si="115"/>
        <v>8.4</v>
      </c>
      <c r="AI160" s="1004">
        <f t="shared" si="113"/>
        <v>24</v>
      </c>
      <c r="AJ160" s="1005">
        <f t="shared" si="99"/>
        <v>2</v>
      </c>
      <c r="AK160" s="1006">
        <v>18</v>
      </c>
      <c r="AL160" s="1007"/>
      <c r="AM160" s="1007">
        <v>15</v>
      </c>
      <c r="AN160" s="1007"/>
      <c r="AO160" s="1007"/>
      <c r="AP160" s="1008">
        <f t="shared" si="100"/>
        <v>1</v>
      </c>
      <c r="AQ160" s="1009"/>
      <c r="AR160" s="1215"/>
    </row>
    <row r="161" spans="1:43" ht="20.25">
      <c r="A161" s="1173"/>
      <c r="B161" s="1210"/>
      <c r="C161" s="1211" t="s">
        <v>725</v>
      </c>
      <c r="D161" s="999">
        <v>5</v>
      </c>
      <c r="E161" s="1000"/>
      <c r="F161" s="659"/>
      <c r="G161" s="658">
        <f t="shared" si="101"/>
        <v>0</v>
      </c>
      <c r="H161" s="68"/>
      <c r="I161" s="654">
        <f t="shared" si="102"/>
        <v>0</v>
      </c>
      <c r="J161" s="659"/>
      <c r="K161" s="658">
        <f t="shared" si="103"/>
        <v>0</v>
      </c>
      <c r="L161" s="68"/>
      <c r="M161" s="654">
        <f t="shared" si="116"/>
        <v>0</v>
      </c>
      <c r="N161" s="659"/>
      <c r="O161" s="658">
        <f t="shared" si="117"/>
        <v>0</v>
      </c>
      <c r="P161" s="657"/>
      <c r="Q161" s="654">
        <f t="shared" si="118"/>
        <v>0</v>
      </c>
      <c r="R161" s="68"/>
      <c r="S161" s="654">
        <f t="shared" si="119"/>
        <v>0</v>
      </c>
      <c r="T161" s="68"/>
      <c r="U161" s="654">
        <f t="shared" si="120"/>
        <v>0</v>
      </c>
      <c r="V161" s="659"/>
      <c r="W161" s="658">
        <f t="shared" si="121"/>
        <v>0</v>
      </c>
      <c r="X161" s="68"/>
      <c r="Y161" s="654">
        <f t="shared" si="122"/>
        <v>0</v>
      </c>
      <c r="Z161" s="659"/>
      <c r="AA161" s="658">
        <f t="shared" si="123"/>
        <v>0</v>
      </c>
      <c r="AB161" s="68"/>
      <c r="AC161" s="654">
        <f t="shared" si="124"/>
        <v>0</v>
      </c>
      <c r="AD161" s="660">
        <v>2</v>
      </c>
      <c r="AE161" s="661"/>
      <c r="AF161" s="1212"/>
      <c r="AG161" s="662">
        <f t="shared" si="114"/>
        <v>3</v>
      </c>
      <c r="AH161" s="1003">
        <f t="shared" si="115"/>
        <v>0</v>
      </c>
      <c r="AI161" s="1004">
        <f t="shared" si="113"/>
        <v>0</v>
      </c>
      <c r="AJ161" s="1005">
        <f t="shared" si="99"/>
        <v>0</v>
      </c>
      <c r="AK161" s="1006">
        <v>0</v>
      </c>
      <c r="AL161" s="1213"/>
      <c r="AM161" s="1213"/>
      <c r="AN161" s="1213"/>
      <c r="AO161" s="1213"/>
      <c r="AP161" s="1008">
        <f t="shared" si="100"/>
        <v>0</v>
      </c>
      <c r="AQ161" s="1009"/>
    </row>
    <row r="162" spans="1:43" ht="20.25">
      <c r="A162" s="1173"/>
      <c r="B162" s="1210"/>
      <c r="C162" s="1211" t="s">
        <v>570</v>
      </c>
      <c r="D162" s="999">
        <v>5</v>
      </c>
      <c r="E162" s="1000"/>
      <c r="F162" s="659"/>
      <c r="G162" s="658">
        <f t="shared" si="101"/>
        <v>0</v>
      </c>
      <c r="H162" s="68"/>
      <c r="I162" s="654">
        <f t="shared" si="102"/>
        <v>0</v>
      </c>
      <c r="J162" s="659"/>
      <c r="K162" s="658">
        <f t="shared" si="103"/>
        <v>0</v>
      </c>
      <c r="L162" s="68"/>
      <c r="M162" s="654">
        <f t="shared" si="116"/>
        <v>0</v>
      </c>
      <c r="N162" s="659"/>
      <c r="O162" s="658">
        <f t="shared" si="117"/>
        <v>0</v>
      </c>
      <c r="P162" s="657"/>
      <c r="Q162" s="654">
        <f t="shared" si="118"/>
        <v>0</v>
      </c>
      <c r="R162" s="68"/>
      <c r="S162" s="654">
        <f t="shared" si="119"/>
        <v>0</v>
      </c>
      <c r="T162" s="68"/>
      <c r="U162" s="654">
        <f t="shared" si="120"/>
        <v>0</v>
      </c>
      <c r="V162" s="659"/>
      <c r="W162" s="658">
        <f t="shared" si="121"/>
        <v>0</v>
      </c>
      <c r="X162" s="68"/>
      <c r="Y162" s="654">
        <f t="shared" si="122"/>
        <v>0</v>
      </c>
      <c r="Z162" s="659"/>
      <c r="AA162" s="658">
        <f t="shared" si="123"/>
        <v>0</v>
      </c>
      <c r="AB162" s="68"/>
      <c r="AC162" s="654">
        <f t="shared" si="124"/>
        <v>0</v>
      </c>
      <c r="AD162" s="660">
        <v>0</v>
      </c>
      <c r="AE162" s="661"/>
      <c r="AF162" s="1212"/>
      <c r="AG162" s="662">
        <f>M162-AD162</f>
        <v>0</v>
      </c>
      <c r="AH162" s="1003">
        <f t="shared" si="115"/>
        <v>0</v>
      </c>
      <c r="AI162" s="1004">
        <f t="shared" si="113"/>
        <v>0</v>
      </c>
      <c r="AJ162" s="1005">
        <f t="shared" si="99"/>
        <v>0</v>
      </c>
      <c r="AK162" s="1006">
        <v>16</v>
      </c>
      <c r="AL162" s="1007"/>
      <c r="AM162" s="1007">
        <v>20</v>
      </c>
      <c r="AN162" s="1007"/>
      <c r="AO162" s="1007"/>
      <c r="AP162" s="1008">
        <f t="shared" si="100"/>
        <v>-4</v>
      </c>
      <c r="AQ162" s="1009"/>
    </row>
    <row r="163" spans="1:43" ht="20.25">
      <c r="A163" s="1173"/>
      <c r="B163" s="1210"/>
      <c r="C163" s="1211" t="s">
        <v>368</v>
      </c>
      <c r="D163" s="999">
        <v>30</v>
      </c>
      <c r="E163" s="1000"/>
      <c r="F163" s="659"/>
      <c r="G163" s="658">
        <f t="shared" si="101"/>
        <v>0</v>
      </c>
      <c r="H163" s="68"/>
      <c r="I163" s="654">
        <f t="shared" si="102"/>
        <v>0</v>
      </c>
      <c r="J163" s="659"/>
      <c r="K163" s="658">
        <f t="shared" si="103"/>
        <v>0</v>
      </c>
      <c r="L163" s="68"/>
      <c r="M163" s="654">
        <f t="shared" si="116"/>
        <v>0</v>
      </c>
      <c r="N163" s="659"/>
      <c r="O163" s="658">
        <f t="shared" si="117"/>
        <v>0</v>
      </c>
      <c r="P163" s="657"/>
      <c r="Q163" s="654">
        <f t="shared" si="118"/>
        <v>0</v>
      </c>
      <c r="R163" s="68"/>
      <c r="S163" s="654">
        <f t="shared" si="119"/>
        <v>0</v>
      </c>
      <c r="T163" s="68"/>
      <c r="U163" s="654">
        <f t="shared" si="120"/>
        <v>0</v>
      </c>
      <c r="V163" s="659"/>
      <c r="W163" s="658">
        <f t="shared" si="121"/>
        <v>0</v>
      </c>
      <c r="X163" s="68"/>
      <c r="Y163" s="654">
        <f t="shared" si="122"/>
        <v>0</v>
      </c>
      <c r="Z163" s="659"/>
      <c r="AA163" s="658">
        <f t="shared" si="123"/>
        <v>0</v>
      </c>
      <c r="AB163" s="68"/>
      <c r="AC163" s="654">
        <f t="shared" si="124"/>
        <v>0</v>
      </c>
      <c r="AD163" s="660">
        <v>20</v>
      </c>
      <c r="AE163" s="661"/>
      <c r="AF163" s="1212"/>
      <c r="AG163" s="662">
        <f aca="true" t="shared" si="125" ref="AG163:AG176">D163-AD163</f>
        <v>10</v>
      </c>
      <c r="AH163" s="1003">
        <f t="shared" si="115"/>
        <v>0</v>
      </c>
      <c r="AI163" s="1004">
        <f t="shared" si="113"/>
        <v>0</v>
      </c>
      <c r="AJ163" s="1005">
        <f t="shared" si="99"/>
        <v>0</v>
      </c>
      <c r="AK163" s="1006">
        <v>1</v>
      </c>
      <c r="AL163" s="1007"/>
      <c r="AM163" s="1007">
        <v>4</v>
      </c>
      <c r="AN163" s="1007"/>
      <c r="AO163" s="1007"/>
      <c r="AP163" s="1008">
        <f t="shared" si="100"/>
        <v>-3</v>
      </c>
      <c r="AQ163" s="1009"/>
    </row>
    <row r="164" spans="1:43" ht="20.25">
      <c r="A164" s="1173"/>
      <c r="B164" s="1210"/>
      <c r="C164" s="1211" t="s">
        <v>369</v>
      </c>
      <c r="D164" s="999">
        <v>40</v>
      </c>
      <c r="E164" s="1000"/>
      <c r="F164" s="659"/>
      <c r="G164" s="658">
        <f t="shared" si="101"/>
        <v>0</v>
      </c>
      <c r="H164" s="68"/>
      <c r="I164" s="654">
        <f t="shared" si="102"/>
        <v>0</v>
      </c>
      <c r="J164" s="659"/>
      <c r="K164" s="658">
        <f t="shared" si="103"/>
        <v>0</v>
      </c>
      <c r="L164" s="68"/>
      <c r="M164" s="654">
        <f t="shared" si="116"/>
        <v>0</v>
      </c>
      <c r="N164" s="659"/>
      <c r="O164" s="658">
        <f t="shared" si="117"/>
        <v>0</v>
      </c>
      <c r="P164" s="657"/>
      <c r="Q164" s="654">
        <f t="shared" si="118"/>
        <v>0</v>
      </c>
      <c r="R164" s="68"/>
      <c r="S164" s="654">
        <f t="shared" si="119"/>
        <v>0</v>
      </c>
      <c r="T164" s="68"/>
      <c r="U164" s="654">
        <f t="shared" si="120"/>
        <v>0</v>
      </c>
      <c r="V164" s="659"/>
      <c r="W164" s="658">
        <f t="shared" si="121"/>
        <v>0</v>
      </c>
      <c r="X164" s="68"/>
      <c r="Y164" s="654">
        <f t="shared" si="122"/>
        <v>0</v>
      </c>
      <c r="Z164" s="659"/>
      <c r="AA164" s="658">
        <f t="shared" si="123"/>
        <v>0</v>
      </c>
      <c r="AB164" s="68"/>
      <c r="AC164" s="654">
        <f t="shared" si="124"/>
        <v>0</v>
      </c>
      <c r="AD164" s="660">
        <v>33</v>
      </c>
      <c r="AE164" s="661"/>
      <c r="AF164" s="1212"/>
      <c r="AG164" s="662">
        <f t="shared" si="125"/>
        <v>7</v>
      </c>
      <c r="AH164" s="1003">
        <f t="shared" si="115"/>
        <v>0</v>
      </c>
      <c r="AI164" s="1004">
        <f t="shared" si="113"/>
        <v>0</v>
      </c>
      <c r="AJ164" s="1005">
        <f t="shared" si="99"/>
        <v>0</v>
      </c>
      <c r="AK164" s="1006">
        <v>4</v>
      </c>
      <c r="AL164" s="1007"/>
      <c r="AM164" s="1007"/>
      <c r="AN164" s="1007"/>
      <c r="AO164" s="1007"/>
      <c r="AP164" s="1008">
        <f t="shared" si="100"/>
        <v>4</v>
      </c>
      <c r="AQ164" s="1009"/>
    </row>
    <row r="165" spans="1:43" ht="20.25">
      <c r="A165" s="1173"/>
      <c r="B165" s="1210"/>
      <c r="C165" s="1216" t="s">
        <v>726</v>
      </c>
      <c r="D165" s="999">
        <v>7</v>
      </c>
      <c r="E165" s="1000"/>
      <c r="F165" s="659"/>
      <c r="G165" s="658">
        <f t="shared" si="101"/>
        <v>0</v>
      </c>
      <c r="H165" s="68"/>
      <c r="I165" s="654">
        <f t="shared" si="102"/>
        <v>0</v>
      </c>
      <c r="J165" s="659"/>
      <c r="K165" s="658">
        <f t="shared" si="103"/>
        <v>0</v>
      </c>
      <c r="L165" s="68"/>
      <c r="M165" s="654">
        <f t="shared" si="116"/>
        <v>0</v>
      </c>
      <c r="N165" s="659">
        <v>2</v>
      </c>
      <c r="O165" s="658">
        <v>0</v>
      </c>
      <c r="P165" s="657"/>
      <c r="Q165" s="654">
        <f t="shared" si="118"/>
        <v>0</v>
      </c>
      <c r="R165" s="68"/>
      <c r="S165" s="654">
        <f t="shared" si="119"/>
        <v>0</v>
      </c>
      <c r="T165" s="68"/>
      <c r="U165" s="654">
        <f t="shared" si="120"/>
        <v>0</v>
      </c>
      <c r="V165" s="659"/>
      <c r="W165" s="658">
        <f t="shared" si="121"/>
        <v>0</v>
      </c>
      <c r="X165" s="68"/>
      <c r="Y165" s="654">
        <f t="shared" si="122"/>
        <v>0</v>
      </c>
      <c r="Z165" s="659"/>
      <c r="AA165" s="658">
        <f t="shared" si="123"/>
        <v>0</v>
      </c>
      <c r="AB165" s="68"/>
      <c r="AC165" s="654">
        <f t="shared" si="124"/>
        <v>0</v>
      </c>
      <c r="AD165" s="660">
        <v>5.4</v>
      </c>
      <c r="AE165" s="661"/>
      <c r="AF165" s="1212"/>
      <c r="AG165" s="662">
        <f t="shared" si="125"/>
        <v>1.5999999999999996</v>
      </c>
      <c r="AH165" s="1003">
        <f t="shared" si="115"/>
        <v>3.1999999999999993</v>
      </c>
      <c r="AI165" s="1004">
        <f t="shared" si="113"/>
        <v>0</v>
      </c>
      <c r="AJ165" s="1005">
        <f t="shared" si="99"/>
        <v>2</v>
      </c>
      <c r="AK165" s="1006">
        <v>0</v>
      </c>
      <c r="AL165" s="1007">
        <v>15</v>
      </c>
      <c r="AM165" s="1007">
        <v>10</v>
      </c>
      <c r="AN165" s="1007"/>
      <c r="AO165" s="1007"/>
      <c r="AP165" s="1008">
        <f t="shared" si="100"/>
        <v>3</v>
      </c>
      <c r="AQ165" s="1009"/>
    </row>
    <row r="166" spans="1:43" ht="21" customHeight="1" hidden="1">
      <c r="A166" s="1173"/>
      <c r="B166" s="1210"/>
      <c r="C166" s="1216" t="s">
        <v>727</v>
      </c>
      <c r="D166" s="999">
        <v>15</v>
      </c>
      <c r="E166" s="1000"/>
      <c r="F166" s="659"/>
      <c r="G166" s="658">
        <f t="shared" si="101"/>
        <v>0</v>
      </c>
      <c r="H166" s="68"/>
      <c r="I166" s="654">
        <f t="shared" si="102"/>
        <v>0</v>
      </c>
      <c r="J166" s="659"/>
      <c r="K166" s="658">
        <f t="shared" si="103"/>
        <v>0</v>
      </c>
      <c r="L166" s="68"/>
      <c r="M166" s="654">
        <f t="shared" si="116"/>
        <v>0</v>
      </c>
      <c r="N166" s="659"/>
      <c r="O166" s="658">
        <f aca="true" t="shared" si="126" ref="O166:O252">N166*D166</f>
        <v>0</v>
      </c>
      <c r="P166" s="657"/>
      <c r="Q166" s="654">
        <f t="shared" si="118"/>
        <v>0</v>
      </c>
      <c r="R166" s="68"/>
      <c r="S166" s="654">
        <f t="shared" si="119"/>
        <v>0</v>
      </c>
      <c r="T166" s="68"/>
      <c r="U166" s="654">
        <f t="shared" si="120"/>
        <v>0</v>
      </c>
      <c r="V166" s="659"/>
      <c r="W166" s="658">
        <f t="shared" si="121"/>
        <v>0</v>
      </c>
      <c r="X166" s="68"/>
      <c r="Y166" s="654">
        <f t="shared" si="122"/>
        <v>0</v>
      </c>
      <c r="Z166" s="659"/>
      <c r="AA166" s="658">
        <f t="shared" si="123"/>
        <v>0</v>
      </c>
      <c r="AB166" s="68"/>
      <c r="AC166" s="654">
        <f t="shared" si="124"/>
        <v>0</v>
      </c>
      <c r="AD166" s="660">
        <v>12.5</v>
      </c>
      <c r="AE166" s="661"/>
      <c r="AF166" s="1212"/>
      <c r="AG166" s="662">
        <f t="shared" si="125"/>
        <v>2.5</v>
      </c>
      <c r="AH166" s="1003">
        <f t="shared" si="115"/>
        <v>0</v>
      </c>
      <c r="AI166" s="1004">
        <f t="shared" si="113"/>
        <v>0</v>
      </c>
      <c r="AJ166" s="1005">
        <f t="shared" si="99"/>
        <v>0</v>
      </c>
      <c r="AK166" s="1006">
        <v>0</v>
      </c>
      <c r="AL166" s="1007"/>
      <c r="AM166" s="1007"/>
      <c r="AN166" s="1007"/>
      <c r="AO166" s="1007"/>
      <c r="AP166" s="1008">
        <f t="shared" si="100"/>
        <v>0</v>
      </c>
      <c r="AQ166" s="1009"/>
    </row>
    <row r="167" spans="1:43" ht="20.25">
      <c r="A167" s="1173"/>
      <c r="B167" s="1210"/>
      <c r="C167" s="1216" t="s">
        <v>728</v>
      </c>
      <c r="D167" s="999">
        <v>15</v>
      </c>
      <c r="E167" s="1000"/>
      <c r="F167" s="659"/>
      <c r="G167" s="658">
        <f t="shared" si="101"/>
        <v>0</v>
      </c>
      <c r="H167" s="68"/>
      <c r="I167" s="654">
        <f t="shared" si="102"/>
        <v>0</v>
      </c>
      <c r="J167" s="659"/>
      <c r="K167" s="658">
        <f t="shared" si="103"/>
        <v>0</v>
      </c>
      <c r="L167" s="68"/>
      <c r="M167" s="654">
        <f t="shared" si="116"/>
        <v>0</v>
      </c>
      <c r="N167" s="659"/>
      <c r="O167" s="658">
        <f t="shared" si="126"/>
        <v>0</v>
      </c>
      <c r="P167" s="657"/>
      <c r="Q167" s="654">
        <f t="shared" si="118"/>
        <v>0</v>
      </c>
      <c r="R167" s="68"/>
      <c r="S167" s="654">
        <f t="shared" si="119"/>
        <v>0</v>
      </c>
      <c r="T167" s="68"/>
      <c r="U167" s="654">
        <f t="shared" si="120"/>
        <v>0</v>
      </c>
      <c r="V167" s="659"/>
      <c r="W167" s="658">
        <f t="shared" si="121"/>
        <v>0</v>
      </c>
      <c r="X167" s="68"/>
      <c r="Y167" s="654">
        <f t="shared" si="122"/>
        <v>0</v>
      </c>
      <c r="Z167" s="659"/>
      <c r="AA167" s="658">
        <f t="shared" si="123"/>
        <v>0</v>
      </c>
      <c r="AB167" s="68"/>
      <c r="AC167" s="654">
        <f t="shared" si="124"/>
        <v>0</v>
      </c>
      <c r="AD167" s="660">
        <v>12.5</v>
      </c>
      <c r="AE167" s="661"/>
      <c r="AF167" s="1212"/>
      <c r="AG167" s="662">
        <f t="shared" si="125"/>
        <v>2.5</v>
      </c>
      <c r="AH167" s="1003">
        <f t="shared" si="115"/>
        <v>0</v>
      </c>
      <c r="AI167" s="1004">
        <f t="shared" si="113"/>
        <v>0</v>
      </c>
      <c r="AJ167" s="1005">
        <f t="shared" si="99"/>
        <v>0</v>
      </c>
      <c r="AK167" s="1006">
        <v>0</v>
      </c>
      <c r="AL167" s="1007"/>
      <c r="AM167" s="1007"/>
      <c r="AN167" s="1007"/>
      <c r="AO167" s="1007"/>
      <c r="AP167" s="1008">
        <f t="shared" si="100"/>
        <v>0</v>
      </c>
      <c r="AQ167" s="1009"/>
    </row>
    <row r="168" spans="1:43" ht="21" customHeight="1" hidden="1">
      <c r="A168" s="1173"/>
      <c r="B168" s="1210"/>
      <c r="C168" s="1216" t="s">
        <v>729</v>
      </c>
      <c r="D168" s="999">
        <v>22</v>
      </c>
      <c r="E168" s="1000"/>
      <c r="F168" s="659"/>
      <c r="G168" s="658">
        <f t="shared" si="101"/>
        <v>0</v>
      </c>
      <c r="H168" s="68"/>
      <c r="I168" s="654">
        <f t="shared" si="102"/>
        <v>0</v>
      </c>
      <c r="J168" s="659"/>
      <c r="K168" s="658">
        <f t="shared" si="103"/>
        <v>0</v>
      </c>
      <c r="L168" s="68"/>
      <c r="M168" s="654">
        <f t="shared" si="116"/>
        <v>0</v>
      </c>
      <c r="N168" s="659"/>
      <c r="O168" s="658">
        <f t="shared" si="126"/>
        <v>0</v>
      </c>
      <c r="P168" s="657"/>
      <c r="Q168" s="654">
        <f t="shared" si="118"/>
        <v>0</v>
      </c>
      <c r="R168" s="68"/>
      <c r="S168" s="654">
        <f t="shared" si="119"/>
        <v>0</v>
      </c>
      <c r="T168" s="68"/>
      <c r="U168" s="654">
        <f t="shared" si="120"/>
        <v>0</v>
      </c>
      <c r="V168" s="659"/>
      <c r="W168" s="658">
        <f t="shared" si="121"/>
        <v>0</v>
      </c>
      <c r="X168" s="68"/>
      <c r="Y168" s="654">
        <f t="shared" si="122"/>
        <v>0</v>
      </c>
      <c r="Z168" s="659"/>
      <c r="AA168" s="658">
        <f t="shared" si="123"/>
        <v>0</v>
      </c>
      <c r="AB168" s="68"/>
      <c r="AC168" s="654">
        <f t="shared" si="124"/>
        <v>0</v>
      </c>
      <c r="AD168" s="660">
        <v>15.4</v>
      </c>
      <c r="AE168" s="661"/>
      <c r="AF168" s="1212"/>
      <c r="AG168" s="662">
        <f t="shared" si="125"/>
        <v>6.6</v>
      </c>
      <c r="AH168" s="1003">
        <f t="shared" si="115"/>
        <v>0</v>
      </c>
      <c r="AI168" s="1004">
        <f t="shared" si="113"/>
        <v>0</v>
      </c>
      <c r="AJ168" s="1005">
        <f t="shared" si="99"/>
        <v>0</v>
      </c>
      <c r="AK168" s="1006">
        <v>0</v>
      </c>
      <c r="AL168" s="1007"/>
      <c r="AM168" s="1007"/>
      <c r="AN168" s="1007"/>
      <c r="AO168" s="1007"/>
      <c r="AP168" s="1008">
        <f t="shared" si="100"/>
        <v>0</v>
      </c>
      <c r="AQ168" s="1009"/>
    </row>
    <row r="169" spans="1:43" ht="21" customHeight="1" hidden="1">
      <c r="A169" s="1173"/>
      <c r="B169" s="1210"/>
      <c r="C169" s="1216" t="s">
        <v>730</v>
      </c>
      <c r="D169" s="999">
        <v>15</v>
      </c>
      <c r="E169" s="1000"/>
      <c r="F169" s="659"/>
      <c r="G169" s="658">
        <f t="shared" si="101"/>
        <v>0</v>
      </c>
      <c r="H169" s="68"/>
      <c r="I169" s="654">
        <f t="shared" si="102"/>
        <v>0</v>
      </c>
      <c r="J169" s="659"/>
      <c r="K169" s="658">
        <f t="shared" si="103"/>
        <v>0</v>
      </c>
      <c r="L169" s="68"/>
      <c r="M169" s="654">
        <f t="shared" si="116"/>
        <v>0</v>
      </c>
      <c r="N169" s="659"/>
      <c r="O169" s="658">
        <f t="shared" si="126"/>
        <v>0</v>
      </c>
      <c r="P169" s="657"/>
      <c r="Q169" s="654">
        <f t="shared" si="118"/>
        <v>0</v>
      </c>
      <c r="R169" s="68"/>
      <c r="S169" s="654">
        <f t="shared" si="119"/>
        <v>0</v>
      </c>
      <c r="T169" s="68"/>
      <c r="U169" s="654">
        <f t="shared" si="120"/>
        <v>0</v>
      </c>
      <c r="V169" s="659"/>
      <c r="W169" s="658">
        <f t="shared" si="121"/>
        <v>0</v>
      </c>
      <c r="X169" s="68"/>
      <c r="Y169" s="654">
        <f t="shared" si="122"/>
        <v>0</v>
      </c>
      <c r="Z169" s="659"/>
      <c r="AA169" s="658">
        <f t="shared" si="123"/>
        <v>0</v>
      </c>
      <c r="AB169" s="68"/>
      <c r="AC169" s="654">
        <f t="shared" si="124"/>
        <v>0</v>
      </c>
      <c r="AD169" s="826"/>
      <c r="AE169" s="868"/>
      <c r="AF169" s="1212"/>
      <c r="AG169" s="662">
        <f t="shared" si="125"/>
        <v>15</v>
      </c>
      <c r="AH169" s="1003">
        <f t="shared" si="115"/>
        <v>0</v>
      </c>
      <c r="AI169" s="1004">
        <f t="shared" si="113"/>
        <v>0</v>
      </c>
      <c r="AJ169" s="1005">
        <f t="shared" si="99"/>
        <v>0</v>
      </c>
      <c r="AK169" s="1006">
        <v>0</v>
      </c>
      <c r="AL169" s="1007"/>
      <c r="AM169" s="1007"/>
      <c r="AN169" s="1007"/>
      <c r="AO169" s="1007"/>
      <c r="AP169" s="1008">
        <f t="shared" si="100"/>
        <v>0</v>
      </c>
      <c r="AQ169" s="1009"/>
    </row>
    <row r="170" spans="1:43" ht="21" customHeight="1" hidden="1">
      <c r="A170" s="1173"/>
      <c r="B170" s="1210"/>
      <c r="C170" s="1216" t="s">
        <v>731</v>
      </c>
      <c r="D170" s="999">
        <v>16.95</v>
      </c>
      <c r="E170" s="1000"/>
      <c r="F170" s="659"/>
      <c r="G170" s="658">
        <f t="shared" si="101"/>
        <v>0</v>
      </c>
      <c r="H170" s="68"/>
      <c r="I170" s="654">
        <f t="shared" si="102"/>
        <v>0</v>
      </c>
      <c r="J170" s="659"/>
      <c r="K170" s="658">
        <f t="shared" si="103"/>
        <v>0</v>
      </c>
      <c r="L170" s="68"/>
      <c r="M170" s="654">
        <f t="shared" si="116"/>
        <v>0</v>
      </c>
      <c r="N170" s="659"/>
      <c r="O170" s="658">
        <f t="shared" si="126"/>
        <v>0</v>
      </c>
      <c r="P170" s="657"/>
      <c r="Q170" s="654">
        <f t="shared" si="118"/>
        <v>0</v>
      </c>
      <c r="R170" s="68"/>
      <c r="S170" s="654">
        <f t="shared" si="119"/>
        <v>0</v>
      </c>
      <c r="T170" s="68"/>
      <c r="U170" s="654">
        <f t="shared" si="120"/>
        <v>0</v>
      </c>
      <c r="V170" s="659"/>
      <c r="W170" s="658">
        <f t="shared" si="121"/>
        <v>0</v>
      </c>
      <c r="X170" s="68"/>
      <c r="Y170" s="654">
        <f t="shared" si="122"/>
        <v>0</v>
      </c>
      <c r="Z170" s="659"/>
      <c r="AA170" s="658">
        <f t="shared" si="123"/>
        <v>0</v>
      </c>
      <c r="AB170" s="68"/>
      <c r="AC170" s="654">
        <f t="shared" si="124"/>
        <v>0</v>
      </c>
      <c r="AD170" s="826"/>
      <c r="AE170" s="868"/>
      <c r="AF170" s="1212"/>
      <c r="AG170" s="662">
        <f t="shared" si="125"/>
        <v>16.95</v>
      </c>
      <c r="AH170" s="1003">
        <f t="shared" si="115"/>
        <v>0</v>
      </c>
      <c r="AI170" s="1004">
        <f t="shared" si="113"/>
        <v>0</v>
      </c>
      <c r="AJ170" s="1005">
        <f t="shared" si="99"/>
        <v>0</v>
      </c>
      <c r="AK170" s="1006">
        <v>0</v>
      </c>
      <c r="AL170" s="1007"/>
      <c r="AM170" s="1007"/>
      <c r="AN170" s="1007"/>
      <c r="AO170" s="1007"/>
      <c r="AP170" s="1008">
        <f t="shared" si="100"/>
        <v>0</v>
      </c>
      <c r="AQ170" s="1009"/>
    </row>
    <row r="171" spans="1:43" ht="20.25">
      <c r="A171" s="1173"/>
      <c r="B171" s="1210"/>
      <c r="C171" s="1216" t="s">
        <v>374</v>
      </c>
      <c r="D171" s="999">
        <v>12</v>
      </c>
      <c r="E171" s="1000"/>
      <c r="F171" s="659"/>
      <c r="G171" s="658">
        <f t="shared" si="101"/>
        <v>0</v>
      </c>
      <c r="H171" s="68"/>
      <c r="I171" s="654">
        <f t="shared" si="102"/>
        <v>0</v>
      </c>
      <c r="J171" s="659"/>
      <c r="K171" s="658">
        <f t="shared" si="103"/>
        <v>0</v>
      </c>
      <c r="L171" s="68"/>
      <c r="M171" s="654">
        <f t="shared" si="116"/>
        <v>0</v>
      </c>
      <c r="N171" s="659"/>
      <c r="O171" s="658">
        <f t="shared" si="126"/>
        <v>0</v>
      </c>
      <c r="P171" s="657"/>
      <c r="Q171" s="654">
        <f t="shared" si="118"/>
        <v>0</v>
      </c>
      <c r="R171" s="68"/>
      <c r="S171" s="654">
        <f t="shared" si="119"/>
        <v>0</v>
      </c>
      <c r="T171" s="68"/>
      <c r="U171" s="654">
        <f t="shared" si="120"/>
        <v>0</v>
      </c>
      <c r="V171" s="659"/>
      <c r="W171" s="658">
        <f t="shared" si="121"/>
        <v>0</v>
      </c>
      <c r="X171" s="68"/>
      <c r="Y171" s="654">
        <f t="shared" si="122"/>
        <v>0</v>
      </c>
      <c r="Z171" s="659"/>
      <c r="AA171" s="658">
        <f t="shared" si="123"/>
        <v>0</v>
      </c>
      <c r="AB171" s="68"/>
      <c r="AC171" s="654">
        <f t="shared" si="124"/>
        <v>0</v>
      </c>
      <c r="AD171" s="826"/>
      <c r="AE171" s="868"/>
      <c r="AF171" s="1212"/>
      <c r="AG171" s="662">
        <f t="shared" si="125"/>
        <v>12</v>
      </c>
      <c r="AH171" s="1003">
        <f t="shared" si="115"/>
        <v>0</v>
      </c>
      <c r="AI171" s="1004">
        <f t="shared" si="113"/>
        <v>0</v>
      </c>
      <c r="AJ171" s="1005">
        <f t="shared" si="99"/>
        <v>0</v>
      </c>
      <c r="AK171" s="1006">
        <v>0</v>
      </c>
      <c r="AL171" s="1007"/>
      <c r="AM171" s="1007">
        <v>3</v>
      </c>
      <c r="AN171" s="1007"/>
      <c r="AO171" s="1007"/>
      <c r="AP171" s="1008">
        <f t="shared" si="100"/>
        <v>-3</v>
      </c>
      <c r="AQ171" s="1009"/>
    </row>
    <row r="172" spans="1:43" ht="20.25">
      <c r="A172" s="1173"/>
      <c r="B172" s="1210"/>
      <c r="C172" s="1216" t="s">
        <v>572</v>
      </c>
      <c r="D172" s="999">
        <v>14</v>
      </c>
      <c r="E172" s="1000"/>
      <c r="F172" s="659"/>
      <c r="G172" s="658">
        <f t="shared" si="101"/>
        <v>0</v>
      </c>
      <c r="H172" s="68"/>
      <c r="I172" s="654">
        <f t="shared" si="102"/>
        <v>0</v>
      </c>
      <c r="J172" s="659"/>
      <c r="K172" s="658">
        <f t="shared" si="103"/>
        <v>0</v>
      </c>
      <c r="L172" s="68"/>
      <c r="M172" s="654">
        <f t="shared" si="116"/>
        <v>0</v>
      </c>
      <c r="N172" s="659"/>
      <c r="O172" s="658">
        <f t="shared" si="126"/>
        <v>0</v>
      </c>
      <c r="P172" s="657"/>
      <c r="Q172" s="654">
        <f t="shared" si="118"/>
        <v>0</v>
      </c>
      <c r="R172" s="68"/>
      <c r="S172" s="654">
        <f t="shared" si="119"/>
        <v>0</v>
      </c>
      <c r="T172" s="68"/>
      <c r="U172" s="654">
        <f t="shared" si="120"/>
        <v>0</v>
      </c>
      <c r="V172" s="659"/>
      <c r="W172" s="658">
        <f t="shared" si="121"/>
        <v>0</v>
      </c>
      <c r="X172" s="68"/>
      <c r="Y172" s="654">
        <f t="shared" si="122"/>
        <v>0</v>
      </c>
      <c r="Z172" s="659"/>
      <c r="AA172" s="658">
        <f t="shared" si="123"/>
        <v>0</v>
      </c>
      <c r="AB172" s="68"/>
      <c r="AC172" s="654">
        <f t="shared" si="124"/>
        <v>0</v>
      </c>
      <c r="AD172" s="660">
        <v>7</v>
      </c>
      <c r="AE172" s="661"/>
      <c r="AF172" s="1212"/>
      <c r="AG172" s="662">
        <f t="shared" si="125"/>
        <v>7</v>
      </c>
      <c r="AH172" s="1003">
        <f t="shared" si="115"/>
        <v>0</v>
      </c>
      <c r="AI172" s="1004">
        <f t="shared" si="113"/>
        <v>0</v>
      </c>
      <c r="AJ172" s="1005">
        <f t="shared" si="99"/>
        <v>0</v>
      </c>
      <c r="AK172" s="1006">
        <v>0</v>
      </c>
      <c r="AL172" s="1007"/>
      <c r="AM172" s="1007"/>
      <c r="AN172" s="1007"/>
      <c r="AO172" s="1007"/>
      <c r="AP172" s="1008">
        <f t="shared" si="100"/>
        <v>0</v>
      </c>
      <c r="AQ172" s="1009"/>
    </row>
    <row r="173" spans="1:43" ht="21" customHeight="1" hidden="1">
      <c r="A173" s="1173"/>
      <c r="B173" s="1210"/>
      <c r="C173" s="1216" t="s">
        <v>732</v>
      </c>
      <c r="D173" s="999">
        <v>17.95</v>
      </c>
      <c r="E173" s="1000"/>
      <c r="F173" s="659"/>
      <c r="G173" s="658">
        <f t="shared" si="101"/>
        <v>0</v>
      </c>
      <c r="H173" s="68"/>
      <c r="I173" s="654">
        <f t="shared" si="102"/>
        <v>0</v>
      </c>
      <c r="J173" s="659"/>
      <c r="K173" s="658">
        <f t="shared" si="103"/>
        <v>0</v>
      </c>
      <c r="L173" s="68"/>
      <c r="M173" s="654">
        <f t="shared" si="116"/>
        <v>0</v>
      </c>
      <c r="N173" s="659"/>
      <c r="O173" s="658">
        <f t="shared" si="126"/>
        <v>0</v>
      </c>
      <c r="P173" s="657"/>
      <c r="Q173" s="654">
        <f t="shared" si="118"/>
        <v>0</v>
      </c>
      <c r="R173" s="68"/>
      <c r="S173" s="654">
        <f t="shared" si="119"/>
        <v>0</v>
      </c>
      <c r="T173" s="68"/>
      <c r="U173" s="654">
        <f t="shared" si="120"/>
        <v>0</v>
      </c>
      <c r="V173" s="659"/>
      <c r="W173" s="658">
        <f t="shared" si="121"/>
        <v>0</v>
      </c>
      <c r="X173" s="68"/>
      <c r="Y173" s="654">
        <f t="shared" si="122"/>
        <v>0</v>
      </c>
      <c r="Z173" s="659"/>
      <c r="AA173" s="658">
        <f t="shared" si="123"/>
        <v>0</v>
      </c>
      <c r="AB173" s="68"/>
      <c r="AC173" s="654">
        <f t="shared" si="124"/>
        <v>0</v>
      </c>
      <c r="AD173" s="826"/>
      <c r="AE173" s="868"/>
      <c r="AF173" s="1212"/>
      <c r="AG173" s="662">
        <f t="shared" si="125"/>
        <v>17.95</v>
      </c>
      <c r="AH173" s="1003">
        <f t="shared" si="115"/>
        <v>0</v>
      </c>
      <c r="AI173" s="1004">
        <f t="shared" si="113"/>
        <v>0</v>
      </c>
      <c r="AJ173" s="1005">
        <f t="shared" si="99"/>
        <v>0</v>
      </c>
      <c r="AK173" s="1006">
        <v>0</v>
      </c>
      <c r="AL173" s="1007"/>
      <c r="AM173" s="1007"/>
      <c r="AN173" s="1007"/>
      <c r="AO173" s="1007"/>
      <c r="AP173" s="1008">
        <f t="shared" si="100"/>
        <v>0</v>
      </c>
      <c r="AQ173" s="1009"/>
    </row>
    <row r="174" spans="1:43" ht="20.25">
      <c r="A174" s="1173"/>
      <c r="B174" s="1210"/>
      <c r="C174" s="1211" t="s">
        <v>733</v>
      </c>
      <c r="D174" s="999">
        <v>18</v>
      </c>
      <c r="E174" s="1000"/>
      <c r="F174" s="659"/>
      <c r="G174" s="658">
        <f t="shared" si="101"/>
        <v>0</v>
      </c>
      <c r="H174" s="68"/>
      <c r="I174" s="654">
        <f t="shared" si="102"/>
        <v>0</v>
      </c>
      <c r="J174" s="659"/>
      <c r="K174" s="658">
        <f t="shared" si="103"/>
        <v>0</v>
      </c>
      <c r="L174" s="68"/>
      <c r="M174" s="654">
        <f t="shared" si="116"/>
        <v>0</v>
      </c>
      <c r="N174" s="659"/>
      <c r="O174" s="658">
        <f t="shared" si="126"/>
        <v>0</v>
      </c>
      <c r="P174" s="657"/>
      <c r="Q174" s="654">
        <f t="shared" si="118"/>
        <v>0</v>
      </c>
      <c r="R174" s="68"/>
      <c r="S174" s="654">
        <f t="shared" si="119"/>
        <v>0</v>
      </c>
      <c r="T174" s="68"/>
      <c r="U174" s="654">
        <f t="shared" si="120"/>
        <v>0</v>
      </c>
      <c r="V174" s="659"/>
      <c r="W174" s="658">
        <f t="shared" si="121"/>
        <v>0</v>
      </c>
      <c r="X174" s="68"/>
      <c r="Y174" s="654">
        <f t="shared" si="122"/>
        <v>0</v>
      </c>
      <c r="Z174" s="659"/>
      <c r="AA174" s="658">
        <f t="shared" si="123"/>
        <v>0</v>
      </c>
      <c r="AB174" s="68"/>
      <c r="AC174" s="654">
        <f t="shared" si="124"/>
        <v>0</v>
      </c>
      <c r="AD174" s="826"/>
      <c r="AE174" s="868"/>
      <c r="AF174" s="1212"/>
      <c r="AG174" s="662">
        <f t="shared" si="125"/>
        <v>18</v>
      </c>
      <c r="AH174" s="1003">
        <f t="shared" si="115"/>
        <v>0</v>
      </c>
      <c r="AI174" s="1004">
        <f t="shared" si="113"/>
        <v>0</v>
      </c>
      <c r="AJ174" s="1005">
        <f t="shared" si="99"/>
        <v>0</v>
      </c>
      <c r="AK174" s="1006">
        <v>2</v>
      </c>
      <c r="AL174" s="1007"/>
      <c r="AM174" s="1007"/>
      <c r="AN174" s="1007"/>
      <c r="AO174" s="1007"/>
      <c r="AP174" s="1008">
        <f t="shared" si="100"/>
        <v>2</v>
      </c>
      <c r="AQ174" s="1009"/>
    </row>
    <row r="175" spans="1:43" ht="21" customHeight="1" hidden="1">
      <c r="A175" s="1173"/>
      <c r="B175" s="1210"/>
      <c r="C175" s="1211" t="s">
        <v>734</v>
      </c>
      <c r="D175" s="999">
        <v>7</v>
      </c>
      <c r="E175" s="1000"/>
      <c r="F175" s="659"/>
      <c r="G175" s="658">
        <f t="shared" si="101"/>
        <v>0</v>
      </c>
      <c r="H175" s="68"/>
      <c r="I175" s="654">
        <f t="shared" si="102"/>
        <v>0</v>
      </c>
      <c r="J175" s="659"/>
      <c r="K175" s="658">
        <f t="shared" si="103"/>
        <v>0</v>
      </c>
      <c r="L175" s="68"/>
      <c r="M175" s="654">
        <f t="shared" si="116"/>
        <v>0</v>
      </c>
      <c r="N175" s="659"/>
      <c r="O175" s="658">
        <f t="shared" si="126"/>
        <v>0</v>
      </c>
      <c r="P175" s="657"/>
      <c r="Q175" s="654">
        <f t="shared" si="118"/>
        <v>0</v>
      </c>
      <c r="R175" s="68"/>
      <c r="S175" s="654">
        <f t="shared" si="119"/>
        <v>0</v>
      </c>
      <c r="T175" s="68"/>
      <c r="U175" s="654">
        <f t="shared" si="120"/>
        <v>0</v>
      </c>
      <c r="V175" s="659"/>
      <c r="W175" s="658">
        <f t="shared" si="121"/>
        <v>0</v>
      </c>
      <c r="X175" s="68"/>
      <c r="Y175" s="654">
        <f t="shared" si="122"/>
        <v>0</v>
      </c>
      <c r="Z175" s="659"/>
      <c r="AA175" s="658">
        <f t="shared" si="123"/>
        <v>0</v>
      </c>
      <c r="AB175" s="68"/>
      <c r="AC175" s="654">
        <f t="shared" si="124"/>
        <v>0</v>
      </c>
      <c r="AD175" s="660">
        <v>4.9</v>
      </c>
      <c r="AE175" s="661"/>
      <c r="AF175" s="1212"/>
      <c r="AG175" s="662">
        <f t="shared" si="125"/>
        <v>2.0999999999999996</v>
      </c>
      <c r="AH175" s="1003">
        <f t="shared" si="115"/>
        <v>0</v>
      </c>
      <c r="AI175" s="1004">
        <f t="shared" si="113"/>
        <v>0</v>
      </c>
      <c r="AJ175" s="1005">
        <f t="shared" si="99"/>
        <v>0</v>
      </c>
      <c r="AK175" s="1006">
        <v>0</v>
      </c>
      <c r="AL175" s="1007"/>
      <c r="AM175" s="1007"/>
      <c r="AN175" s="1007"/>
      <c r="AO175" s="1007"/>
      <c r="AP175" s="1008">
        <f t="shared" si="100"/>
        <v>0</v>
      </c>
      <c r="AQ175" s="1009"/>
    </row>
    <row r="176" spans="1:43" ht="20.25">
      <c r="A176" s="1173"/>
      <c r="B176" s="1210"/>
      <c r="C176" s="1211" t="s">
        <v>735</v>
      </c>
      <c r="D176" s="999">
        <v>3.9</v>
      </c>
      <c r="E176" s="1000"/>
      <c r="F176" s="659"/>
      <c r="G176" s="658">
        <f t="shared" si="101"/>
        <v>0</v>
      </c>
      <c r="H176" s="68"/>
      <c r="I176" s="654">
        <f t="shared" si="102"/>
        <v>0</v>
      </c>
      <c r="J176" s="659"/>
      <c r="K176" s="658">
        <f t="shared" si="103"/>
        <v>0</v>
      </c>
      <c r="L176" s="68"/>
      <c r="M176" s="654">
        <f t="shared" si="116"/>
        <v>0</v>
      </c>
      <c r="N176" s="659"/>
      <c r="O176" s="658">
        <f t="shared" si="126"/>
        <v>0</v>
      </c>
      <c r="P176" s="657"/>
      <c r="Q176" s="654">
        <f t="shared" si="118"/>
        <v>0</v>
      </c>
      <c r="R176" s="68"/>
      <c r="S176" s="654">
        <f t="shared" si="119"/>
        <v>0</v>
      </c>
      <c r="T176" s="68"/>
      <c r="U176" s="654">
        <f t="shared" si="120"/>
        <v>0</v>
      </c>
      <c r="V176" s="659"/>
      <c r="W176" s="658">
        <f t="shared" si="121"/>
        <v>0</v>
      </c>
      <c r="X176" s="68"/>
      <c r="Y176" s="654">
        <f t="shared" si="122"/>
        <v>0</v>
      </c>
      <c r="Z176" s="659"/>
      <c r="AA176" s="658">
        <f t="shared" si="123"/>
        <v>0</v>
      </c>
      <c r="AB176" s="68"/>
      <c r="AC176" s="654">
        <f t="shared" si="124"/>
        <v>0</v>
      </c>
      <c r="AD176" s="660">
        <f>'[1]Commande Souvenirs, librairie'!F153</f>
        <v>2.1100000000000003</v>
      </c>
      <c r="AE176" s="661"/>
      <c r="AF176" s="1212"/>
      <c r="AG176" s="662">
        <f t="shared" si="125"/>
        <v>1.7899999999999996</v>
      </c>
      <c r="AH176" s="1003">
        <f t="shared" si="115"/>
        <v>0</v>
      </c>
      <c r="AI176" s="1004">
        <f t="shared" si="113"/>
        <v>0</v>
      </c>
      <c r="AJ176" s="1005">
        <f t="shared" si="99"/>
        <v>0</v>
      </c>
      <c r="AK176" s="1006">
        <v>2</v>
      </c>
      <c r="AL176" s="1007"/>
      <c r="AM176" s="1007"/>
      <c r="AN176" s="1007"/>
      <c r="AO176" s="1007"/>
      <c r="AP176" s="1008">
        <f t="shared" si="100"/>
        <v>2</v>
      </c>
      <c r="AQ176" s="1009"/>
    </row>
    <row r="177" spans="1:43" ht="20.25">
      <c r="A177" s="1173"/>
      <c r="B177" s="1210"/>
      <c r="C177" s="1211" t="s">
        <v>736</v>
      </c>
      <c r="D177" s="999">
        <v>4.99</v>
      </c>
      <c r="E177" s="1000"/>
      <c r="F177" s="659"/>
      <c r="G177" s="658">
        <f t="shared" si="101"/>
        <v>0</v>
      </c>
      <c r="H177" s="68"/>
      <c r="I177" s="654">
        <f t="shared" si="102"/>
        <v>0</v>
      </c>
      <c r="J177" s="659"/>
      <c r="K177" s="658">
        <f t="shared" si="103"/>
        <v>0</v>
      </c>
      <c r="L177" s="68"/>
      <c r="M177" s="654">
        <f t="shared" si="116"/>
        <v>0</v>
      </c>
      <c r="N177" s="659"/>
      <c r="O177" s="658">
        <f t="shared" si="126"/>
        <v>0</v>
      </c>
      <c r="P177" s="657"/>
      <c r="Q177" s="654">
        <f t="shared" si="118"/>
        <v>0</v>
      </c>
      <c r="R177" s="68"/>
      <c r="S177" s="654">
        <f t="shared" si="119"/>
        <v>0</v>
      </c>
      <c r="T177" s="68"/>
      <c r="U177" s="654">
        <f t="shared" si="120"/>
        <v>0</v>
      </c>
      <c r="V177" s="659"/>
      <c r="W177" s="658">
        <f t="shared" si="121"/>
        <v>0</v>
      </c>
      <c r="X177" s="68"/>
      <c r="Y177" s="654">
        <f t="shared" si="122"/>
        <v>0</v>
      </c>
      <c r="Z177" s="659"/>
      <c r="AA177" s="658">
        <f t="shared" si="123"/>
        <v>0</v>
      </c>
      <c r="AB177" s="68"/>
      <c r="AC177" s="654">
        <f t="shared" si="124"/>
        <v>0</v>
      </c>
      <c r="AD177" s="660"/>
      <c r="AE177" s="661"/>
      <c r="AF177" s="1212"/>
      <c r="AG177" s="662"/>
      <c r="AH177" s="1003"/>
      <c r="AI177" s="1004">
        <f t="shared" si="113"/>
        <v>0</v>
      </c>
      <c r="AJ177" s="1005">
        <f t="shared" si="99"/>
        <v>0</v>
      </c>
      <c r="AK177" s="1006">
        <v>0</v>
      </c>
      <c r="AL177" s="1007">
        <v>10</v>
      </c>
      <c r="AM177" s="1007"/>
      <c r="AN177" s="1007"/>
      <c r="AO177" s="1007"/>
      <c r="AP177" s="1008">
        <f t="shared" si="100"/>
        <v>10</v>
      </c>
      <c r="AQ177" s="1009"/>
    </row>
    <row r="178" spans="1:43" ht="20.25">
      <c r="A178" s="1173"/>
      <c r="B178" s="1210" t="s">
        <v>372</v>
      </c>
      <c r="C178" s="1211" t="s">
        <v>574</v>
      </c>
      <c r="D178" s="999">
        <v>5.9</v>
      </c>
      <c r="E178" s="1000"/>
      <c r="F178" s="659"/>
      <c r="G178" s="658">
        <f t="shared" si="101"/>
        <v>0</v>
      </c>
      <c r="H178" s="68"/>
      <c r="I178" s="654">
        <f t="shared" si="102"/>
        <v>0</v>
      </c>
      <c r="J178" s="659"/>
      <c r="K178" s="658">
        <f t="shared" si="103"/>
        <v>0</v>
      </c>
      <c r="L178" s="68"/>
      <c r="M178" s="654">
        <f t="shared" si="116"/>
        <v>0</v>
      </c>
      <c r="N178" s="659"/>
      <c r="O178" s="658">
        <f t="shared" si="126"/>
        <v>0</v>
      </c>
      <c r="P178" s="657"/>
      <c r="Q178" s="654">
        <f t="shared" si="118"/>
        <v>0</v>
      </c>
      <c r="R178" s="68"/>
      <c r="S178" s="654">
        <f t="shared" si="119"/>
        <v>0</v>
      </c>
      <c r="T178" s="68"/>
      <c r="U178" s="654">
        <f t="shared" si="120"/>
        <v>0</v>
      </c>
      <c r="V178" s="659"/>
      <c r="W178" s="658">
        <f t="shared" si="121"/>
        <v>0</v>
      </c>
      <c r="X178" s="68"/>
      <c r="Y178" s="654">
        <f t="shared" si="122"/>
        <v>0</v>
      </c>
      <c r="Z178" s="659"/>
      <c r="AA178" s="658">
        <f t="shared" si="123"/>
        <v>0</v>
      </c>
      <c r="AB178" s="68"/>
      <c r="AC178" s="654">
        <f t="shared" si="124"/>
        <v>0</v>
      </c>
      <c r="AD178" s="660"/>
      <c r="AE178" s="661"/>
      <c r="AF178" s="1212"/>
      <c r="AG178" s="662">
        <f aca="true" t="shared" si="127" ref="AG178:AG181">D178-AD178</f>
        <v>5.9</v>
      </c>
      <c r="AH178" s="1003">
        <f aca="true" t="shared" si="128" ref="AH178:AH181">AG178*AJ178</f>
        <v>0</v>
      </c>
      <c r="AI178" s="1004">
        <f t="shared" si="113"/>
        <v>0</v>
      </c>
      <c r="AJ178" s="1005">
        <f t="shared" si="99"/>
        <v>0</v>
      </c>
      <c r="AK178" s="1006">
        <v>2</v>
      </c>
      <c r="AL178" s="1007"/>
      <c r="AM178" s="1007">
        <v>4</v>
      </c>
      <c r="AN178" s="1007"/>
      <c r="AO178" s="1007"/>
      <c r="AP178" s="1008">
        <f t="shared" si="100"/>
        <v>-2</v>
      </c>
      <c r="AQ178" s="1009"/>
    </row>
    <row r="179" spans="1:43" ht="21" customHeight="1" hidden="1">
      <c r="A179" s="1173"/>
      <c r="B179" s="1210"/>
      <c r="C179" s="1211" t="s">
        <v>737</v>
      </c>
      <c r="D179" s="999">
        <v>18</v>
      </c>
      <c r="E179" s="1000"/>
      <c r="F179" s="659"/>
      <c r="G179" s="658">
        <f t="shared" si="101"/>
        <v>0</v>
      </c>
      <c r="H179" s="68"/>
      <c r="I179" s="654">
        <f t="shared" si="102"/>
        <v>0</v>
      </c>
      <c r="J179" s="659"/>
      <c r="K179" s="658">
        <f t="shared" si="103"/>
        <v>0</v>
      </c>
      <c r="L179" s="68"/>
      <c r="M179" s="654">
        <f t="shared" si="116"/>
        <v>0</v>
      </c>
      <c r="N179" s="659"/>
      <c r="O179" s="658">
        <f t="shared" si="126"/>
        <v>0</v>
      </c>
      <c r="P179" s="657"/>
      <c r="Q179" s="654">
        <f t="shared" si="118"/>
        <v>0</v>
      </c>
      <c r="R179" s="68"/>
      <c r="S179" s="654">
        <f t="shared" si="119"/>
        <v>0</v>
      </c>
      <c r="T179" s="68"/>
      <c r="U179" s="654">
        <f t="shared" si="120"/>
        <v>0</v>
      </c>
      <c r="V179" s="659"/>
      <c r="W179" s="658">
        <f t="shared" si="121"/>
        <v>0</v>
      </c>
      <c r="X179" s="68"/>
      <c r="Y179" s="654">
        <f t="shared" si="122"/>
        <v>0</v>
      </c>
      <c r="Z179" s="659"/>
      <c r="AA179" s="658">
        <f t="shared" si="123"/>
        <v>0</v>
      </c>
      <c r="AB179" s="68"/>
      <c r="AC179" s="654">
        <f t="shared" si="124"/>
        <v>0</v>
      </c>
      <c r="AD179" s="660">
        <v>13.5</v>
      </c>
      <c r="AE179" s="661"/>
      <c r="AF179" s="1212"/>
      <c r="AG179" s="662">
        <f t="shared" si="127"/>
        <v>4.5</v>
      </c>
      <c r="AH179" s="1003">
        <f t="shared" si="128"/>
        <v>0</v>
      </c>
      <c r="AI179" s="1004">
        <f t="shared" si="113"/>
        <v>0</v>
      </c>
      <c r="AJ179" s="1005">
        <f t="shared" si="99"/>
        <v>0</v>
      </c>
      <c r="AK179" s="1006">
        <v>0</v>
      </c>
      <c r="AL179" s="1007"/>
      <c r="AM179" s="1007"/>
      <c r="AN179" s="1007"/>
      <c r="AO179" s="1007"/>
      <c r="AP179" s="1008">
        <f t="shared" si="100"/>
        <v>0</v>
      </c>
      <c r="AQ179" s="1009"/>
    </row>
    <row r="180" spans="1:43" ht="20.25">
      <c r="A180" s="1173"/>
      <c r="B180" s="1210"/>
      <c r="C180" s="1211" t="s">
        <v>738</v>
      </c>
      <c r="D180" s="999">
        <v>25</v>
      </c>
      <c r="E180" s="1000"/>
      <c r="F180" s="659"/>
      <c r="G180" s="658">
        <f t="shared" si="101"/>
        <v>0</v>
      </c>
      <c r="H180" s="68"/>
      <c r="I180" s="654">
        <f t="shared" si="102"/>
        <v>0</v>
      </c>
      <c r="J180" s="659"/>
      <c r="K180" s="658">
        <f t="shared" si="103"/>
        <v>0</v>
      </c>
      <c r="L180" s="68">
        <v>1</v>
      </c>
      <c r="M180" s="654">
        <f t="shared" si="116"/>
        <v>25</v>
      </c>
      <c r="N180" s="659"/>
      <c r="O180" s="658">
        <f t="shared" si="126"/>
        <v>0</v>
      </c>
      <c r="P180" s="657">
        <v>2</v>
      </c>
      <c r="Q180" s="654">
        <f t="shared" si="118"/>
        <v>50</v>
      </c>
      <c r="R180" s="68"/>
      <c r="S180" s="654">
        <f t="shared" si="119"/>
        <v>0</v>
      </c>
      <c r="T180" s="68"/>
      <c r="U180" s="654">
        <f t="shared" si="120"/>
        <v>0</v>
      </c>
      <c r="V180" s="659"/>
      <c r="W180" s="658">
        <f t="shared" si="121"/>
        <v>0</v>
      </c>
      <c r="X180" s="68"/>
      <c r="Y180" s="654">
        <f t="shared" si="122"/>
        <v>0</v>
      </c>
      <c r="Z180" s="659"/>
      <c r="AA180" s="658">
        <f t="shared" si="123"/>
        <v>0</v>
      </c>
      <c r="AB180" s="68"/>
      <c r="AC180" s="654">
        <f t="shared" si="124"/>
        <v>0</v>
      </c>
      <c r="AD180" s="660">
        <f>'[1]Commande Souvenirs, librairie'!F158</f>
        <v>12</v>
      </c>
      <c r="AE180" s="661"/>
      <c r="AF180" s="1212"/>
      <c r="AG180" s="662">
        <f t="shared" si="127"/>
        <v>13</v>
      </c>
      <c r="AH180" s="1003">
        <f t="shared" si="128"/>
        <v>39</v>
      </c>
      <c r="AI180" s="1004">
        <f t="shared" si="113"/>
        <v>75</v>
      </c>
      <c r="AJ180" s="1005">
        <f t="shared" si="99"/>
        <v>3</v>
      </c>
      <c r="AK180" s="1006">
        <f>28+5</f>
        <v>33</v>
      </c>
      <c r="AL180" s="1007"/>
      <c r="AM180" s="1007">
        <v>5</v>
      </c>
      <c r="AN180" s="1007"/>
      <c r="AO180" s="1007"/>
      <c r="AP180" s="1008">
        <f t="shared" si="100"/>
        <v>25</v>
      </c>
      <c r="AQ180" s="1009"/>
    </row>
    <row r="181" spans="1:43" ht="20.25">
      <c r="A181" s="1173"/>
      <c r="B181" s="1210"/>
      <c r="C181" s="1211" t="s">
        <v>221</v>
      </c>
      <c r="D181" s="999">
        <v>7.9</v>
      </c>
      <c r="E181" s="1000"/>
      <c r="F181" s="659"/>
      <c r="G181" s="658">
        <f t="shared" si="101"/>
        <v>0</v>
      </c>
      <c r="H181" s="68"/>
      <c r="I181" s="654">
        <f t="shared" si="102"/>
        <v>0</v>
      </c>
      <c r="J181" s="659"/>
      <c r="K181" s="658">
        <f t="shared" si="103"/>
        <v>0</v>
      </c>
      <c r="L181" s="68"/>
      <c r="M181" s="654">
        <f t="shared" si="116"/>
        <v>0</v>
      </c>
      <c r="N181" s="659">
        <v>1</v>
      </c>
      <c r="O181" s="658">
        <f t="shared" si="126"/>
        <v>7.9</v>
      </c>
      <c r="P181" s="657"/>
      <c r="Q181" s="654">
        <f t="shared" si="118"/>
        <v>0</v>
      </c>
      <c r="R181" s="68"/>
      <c r="S181" s="654">
        <f t="shared" si="119"/>
        <v>0</v>
      </c>
      <c r="T181" s="68"/>
      <c r="U181" s="654">
        <f t="shared" si="120"/>
        <v>0</v>
      </c>
      <c r="V181" s="659"/>
      <c r="W181" s="658">
        <f t="shared" si="121"/>
        <v>0</v>
      </c>
      <c r="X181" s="68"/>
      <c r="Y181" s="654">
        <f t="shared" si="122"/>
        <v>0</v>
      </c>
      <c r="Z181" s="659"/>
      <c r="AA181" s="658">
        <f t="shared" si="123"/>
        <v>0</v>
      </c>
      <c r="AB181" s="68"/>
      <c r="AC181" s="654">
        <f t="shared" si="124"/>
        <v>0</v>
      </c>
      <c r="AD181" s="660">
        <f>'[1]Commande Souvenirs, librairie'!F169</f>
        <v>4.43</v>
      </c>
      <c r="AE181" s="661"/>
      <c r="AF181" s="1212"/>
      <c r="AG181" s="662">
        <f t="shared" si="127"/>
        <v>3.4700000000000006</v>
      </c>
      <c r="AH181" s="1003">
        <f t="shared" si="128"/>
        <v>3.4700000000000006</v>
      </c>
      <c r="AI181" s="1004">
        <f t="shared" si="113"/>
        <v>7.9</v>
      </c>
      <c r="AJ181" s="1005">
        <f t="shared" si="99"/>
        <v>1</v>
      </c>
      <c r="AK181" s="1006">
        <v>4</v>
      </c>
      <c r="AL181" s="1007"/>
      <c r="AM181" s="1007"/>
      <c r="AN181" s="1007"/>
      <c r="AO181" s="1007"/>
      <c r="AP181" s="1008">
        <f t="shared" si="100"/>
        <v>3</v>
      </c>
      <c r="AQ181" s="1009"/>
    </row>
    <row r="182" spans="1:43" ht="20.25">
      <c r="A182" s="1173"/>
      <c r="B182" s="1217"/>
      <c r="C182" s="1218" t="s">
        <v>739</v>
      </c>
      <c r="D182" s="1076">
        <v>29</v>
      </c>
      <c r="E182" s="1077"/>
      <c r="F182" s="912"/>
      <c r="G182" s="911">
        <f t="shared" si="101"/>
        <v>0</v>
      </c>
      <c r="H182" s="88"/>
      <c r="I182" s="907">
        <f t="shared" si="102"/>
        <v>0</v>
      </c>
      <c r="J182" s="912">
        <v>1</v>
      </c>
      <c r="K182" s="911">
        <f t="shared" si="103"/>
        <v>29</v>
      </c>
      <c r="L182" s="88"/>
      <c r="M182" s="907">
        <f t="shared" si="116"/>
        <v>0</v>
      </c>
      <c r="N182" s="912"/>
      <c r="O182" s="911">
        <f t="shared" si="126"/>
        <v>0</v>
      </c>
      <c r="P182" s="910"/>
      <c r="Q182" s="907">
        <f t="shared" si="118"/>
        <v>0</v>
      </c>
      <c r="R182" s="88"/>
      <c r="S182" s="907">
        <f t="shared" si="119"/>
        <v>0</v>
      </c>
      <c r="T182" s="88"/>
      <c r="U182" s="907">
        <f t="shared" si="120"/>
        <v>0</v>
      </c>
      <c r="V182" s="912"/>
      <c r="W182" s="911">
        <f t="shared" si="121"/>
        <v>0</v>
      </c>
      <c r="X182" s="88"/>
      <c r="Y182" s="907">
        <f t="shared" si="122"/>
        <v>0</v>
      </c>
      <c r="Z182" s="912"/>
      <c r="AA182" s="911">
        <f t="shared" si="123"/>
        <v>0</v>
      </c>
      <c r="AB182" s="88"/>
      <c r="AC182" s="907">
        <f t="shared" si="124"/>
        <v>0</v>
      </c>
      <c r="AD182" s="913" t="s">
        <v>534</v>
      </c>
      <c r="AE182" s="1078"/>
      <c r="AF182" s="1219"/>
      <c r="AG182" s="1080"/>
      <c r="AH182" s="1081"/>
      <c r="AI182" s="1082">
        <f t="shared" si="113"/>
        <v>29</v>
      </c>
      <c r="AJ182" s="1083">
        <f t="shared" si="99"/>
        <v>1</v>
      </c>
      <c r="AK182" s="1084">
        <v>2</v>
      </c>
      <c r="AL182" s="1220"/>
      <c r="AM182" s="1220"/>
      <c r="AN182" s="1220"/>
      <c r="AO182" s="1220"/>
      <c r="AP182" s="1086">
        <f t="shared" si="100"/>
        <v>1</v>
      </c>
      <c r="AQ182" s="1221"/>
    </row>
    <row r="183" spans="1:43" ht="32.25">
      <c r="A183" s="1173"/>
      <c r="B183" s="1222" t="s">
        <v>740</v>
      </c>
      <c r="C183" s="1223" t="s">
        <v>741</v>
      </c>
      <c r="D183" s="1197">
        <v>18</v>
      </c>
      <c r="E183" s="1198"/>
      <c r="F183" s="1199"/>
      <c r="G183" s="1202">
        <f t="shared" si="101"/>
        <v>0</v>
      </c>
      <c r="H183" s="24"/>
      <c r="I183" s="1201">
        <f t="shared" si="102"/>
        <v>0</v>
      </c>
      <c r="J183" s="1199"/>
      <c r="K183" s="1202">
        <f t="shared" si="103"/>
        <v>0</v>
      </c>
      <c r="L183" s="24"/>
      <c r="M183" s="1201">
        <f t="shared" si="116"/>
        <v>0</v>
      </c>
      <c r="N183" s="1199"/>
      <c r="O183" s="1202">
        <f t="shared" si="126"/>
        <v>0</v>
      </c>
      <c r="P183" s="1203"/>
      <c r="Q183" s="1201">
        <f t="shared" si="118"/>
        <v>0</v>
      </c>
      <c r="R183" s="24"/>
      <c r="S183" s="1201">
        <f t="shared" si="119"/>
        <v>0</v>
      </c>
      <c r="T183" s="24"/>
      <c r="U183" s="1201">
        <f t="shared" si="120"/>
        <v>0</v>
      </c>
      <c r="V183" s="1199"/>
      <c r="W183" s="1202">
        <f t="shared" si="121"/>
        <v>0</v>
      </c>
      <c r="X183" s="24"/>
      <c r="Y183" s="1201">
        <f t="shared" si="122"/>
        <v>0</v>
      </c>
      <c r="Z183" s="1199"/>
      <c r="AA183" s="1202">
        <f t="shared" si="123"/>
        <v>0</v>
      </c>
      <c r="AB183" s="24"/>
      <c r="AC183" s="1201">
        <f t="shared" si="124"/>
        <v>0</v>
      </c>
      <c r="AD183" s="1204">
        <v>8.4</v>
      </c>
      <c r="AE183" s="901"/>
      <c r="AF183" s="1224"/>
      <c r="AG183" s="1206">
        <f aca="true" t="shared" si="129" ref="AG183:AG189">D183-AD183</f>
        <v>9.6</v>
      </c>
      <c r="AH183" s="1207">
        <f aca="true" t="shared" si="130" ref="AH183:AH195">AG183*AJ183</f>
        <v>0</v>
      </c>
      <c r="AI183" s="992">
        <f t="shared" si="113"/>
        <v>0</v>
      </c>
      <c r="AJ183" s="993">
        <f t="shared" si="99"/>
        <v>0</v>
      </c>
      <c r="AK183" s="994">
        <v>0</v>
      </c>
      <c r="AL183" s="995"/>
      <c r="AM183" s="995"/>
      <c r="AN183" s="995"/>
      <c r="AO183" s="995"/>
      <c r="AP183" s="996">
        <f t="shared" si="100"/>
        <v>0</v>
      </c>
      <c r="AQ183" s="997"/>
    </row>
    <row r="184" spans="1:43" ht="20.25">
      <c r="A184" s="1173"/>
      <c r="B184" s="1225" t="s">
        <v>742</v>
      </c>
      <c r="C184" s="525" t="s">
        <v>743</v>
      </c>
      <c r="D184" s="999">
        <v>49</v>
      </c>
      <c r="E184" s="1000"/>
      <c r="F184" s="659"/>
      <c r="G184" s="658">
        <f t="shared" si="101"/>
        <v>0</v>
      </c>
      <c r="H184" s="68"/>
      <c r="I184" s="654">
        <f t="shared" si="102"/>
        <v>0</v>
      </c>
      <c r="J184" s="659"/>
      <c r="K184" s="658">
        <f t="shared" si="103"/>
        <v>0</v>
      </c>
      <c r="L184" s="68"/>
      <c r="M184" s="654">
        <f t="shared" si="116"/>
        <v>0</v>
      </c>
      <c r="N184" s="659"/>
      <c r="O184" s="658">
        <f t="shared" si="126"/>
        <v>0</v>
      </c>
      <c r="P184" s="657"/>
      <c r="Q184" s="654">
        <f t="shared" si="118"/>
        <v>0</v>
      </c>
      <c r="R184" s="68"/>
      <c r="S184" s="654">
        <f t="shared" si="119"/>
        <v>0</v>
      </c>
      <c r="T184" s="68"/>
      <c r="U184" s="654">
        <f t="shared" si="120"/>
        <v>0</v>
      </c>
      <c r="V184" s="659"/>
      <c r="W184" s="658">
        <f t="shared" si="121"/>
        <v>0</v>
      </c>
      <c r="X184" s="68"/>
      <c r="Y184" s="654">
        <f t="shared" si="122"/>
        <v>0</v>
      </c>
      <c r="Z184" s="659"/>
      <c r="AA184" s="658">
        <f t="shared" si="123"/>
        <v>0</v>
      </c>
      <c r="AB184" s="68"/>
      <c r="AC184" s="654">
        <f t="shared" si="124"/>
        <v>0</v>
      </c>
      <c r="AD184" s="660">
        <v>39</v>
      </c>
      <c r="AE184" s="661"/>
      <c r="AF184" s="1226"/>
      <c r="AG184" s="662">
        <f t="shared" si="129"/>
        <v>10</v>
      </c>
      <c r="AH184" s="1003">
        <f t="shared" si="130"/>
        <v>0</v>
      </c>
      <c r="AI184" s="1004">
        <f t="shared" si="113"/>
        <v>0</v>
      </c>
      <c r="AJ184" s="1005">
        <f t="shared" si="99"/>
        <v>0</v>
      </c>
      <c r="AK184" s="1006">
        <v>1</v>
      </c>
      <c r="AL184" s="1007"/>
      <c r="AM184" s="1007"/>
      <c r="AN184" s="1007"/>
      <c r="AO184" s="1007"/>
      <c r="AP184" s="1008">
        <f t="shared" si="100"/>
        <v>1</v>
      </c>
      <c r="AQ184" s="1009"/>
    </row>
    <row r="185" spans="1:43" ht="20.25">
      <c r="A185" s="1173"/>
      <c r="B185" s="1225" t="s">
        <v>392</v>
      </c>
      <c r="C185" s="525" t="s">
        <v>393</v>
      </c>
      <c r="D185" s="999">
        <v>21</v>
      </c>
      <c r="E185" s="1000"/>
      <c r="F185" s="659"/>
      <c r="G185" s="658">
        <f t="shared" si="101"/>
        <v>0</v>
      </c>
      <c r="H185" s="68">
        <v>1</v>
      </c>
      <c r="I185" s="654">
        <f t="shared" si="102"/>
        <v>21</v>
      </c>
      <c r="J185" s="659"/>
      <c r="K185" s="658">
        <f t="shared" si="103"/>
        <v>0</v>
      </c>
      <c r="L185" s="68"/>
      <c r="M185" s="654">
        <f t="shared" si="116"/>
        <v>0</v>
      </c>
      <c r="N185" s="659"/>
      <c r="O185" s="658">
        <f t="shared" si="126"/>
        <v>0</v>
      </c>
      <c r="P185" s="657"/>
      <c r="Q185" s="654">
        <f t="shared" si="118"/>
        <v>0</v>
      </c>
      <c r="R185" s="68"/>
      <c r="S185" s="654"/>
      <c r="T185" s="68"/>
      <c r="U185" s="654">
        <f t="shared" si="120"/>
        <v>0</v>
      </c>
      <c r="V185" s="659"/>
      <c r="W185" s="658">
        <f t="shared" si="121"/>
        <v>0</v>
      </c>
      <c r="X185" s="68"/>
      <c r="Y185" s="654">
        <f t="shared" si="122"/>
        <v>0</v>
      </c>
      <c r="Z185" s="659"/>
      <c r="AA185" s="658">
        <f t="shared" si="123"/>
        <v>0</v>
      </c>
      <c r="AB185" s="68"/>
      <c r="AC185" s="654">
        <f t="shared" si="124"/>
        <v>0</v>
      </c>
      <c r="AD185" s="660">
        <v>13.24</v>
      </c>
      <c r="AE185" s="661"/>
      <c r="AF185" s="1226"/>
      <c r="AG185" s="662">
        <f t="shared" si="129"/>
        <v>7.76</v>
      </c>
      <c r="AH185" s="1003">
        <f t="shared" si="130"/>
        <v>0</v>
      </c>
      <c r="AI185" s="1004">
        <f>AC185+AA185+Y185</f>
        <v>0</v>
      </c>
      <c r="AJ185" s="1005">
        <f>AB185+Z185+X185</f>
        <v>0</v>
      </c>
      <c r="AK185" s="1006">
        <v>8</v>
      </c>
      <c r="AL185" s="1007">
        <v>15</v>
      </c>
      <c r="AM185" s="1007"/>
      <c r="AN185" s="1007"/>
      <c r="AO185" s="1007"/>
      <c r="AP185" s="1008">
        <f t="shared" si="100"/>
        <v>23</v>
      </c>
      <c r="AQ185" s="1009"/>
    </row>
    <row r="186" spans="1:43" ht="31.5">
      <c r="A186" s="1173"/>
      <c r="B186" s="1227" t="s">
        <v>590</v>
      </c>
      <c r="C186" s="525" t="s">
        <v>744</v>
      </c>
      <c r="D186" s="999">
        <v>15</v>
      </c>
      <c r="E186" s="1000"/>
      <c r="F186" s="659"/>
      <c r="G186" s="658">
        <f t="shared" si="101"/>
        <v>0</v>
      </c>
      <c r="H186" s="68"/>
      <c r="I186" s="654">
        <f t="shared" si="102"/>
        <v>0</v>
      </c>
      <c r="J186" s="659"/>
      <c r="K186" s="658">
        <f t="shared" si="103"/>
        <v>0</v>
      </c>
      <c r="L186" s="68"/>
      <c r="M186" s="654">
        <f t="shared" si="116"/>
        <v>0</v>
      </c>
      <c r="N186" s="659"/>
      <c r="O186" s="658">
        <f t="shared" si="126"/>
        <v>0</v>
      </c>
      <c r="P186" s="657"/>
      <c r="Q186" s="654">
        <f t="shared" si="118"/>
        <v>0</v>
      </c>
      <c r="R186" s="68"/>
      <c r="S186" s="654">
        <f aca="true" t="shared" si="131" ref="S186:S252">R186*D186</f>
        <v>0</v>
      </c>
      <c r="T186" s="68"/>
      <c r="U186" s="654">
        <f t="shared" si="120"/>
        <v>0</v>
      </c>
      <c r="V186" s="659"/>
      <c r="W186" s="658">
        <f t="shared" si="121"/>
        <v>0</v>
      </c>
      <c r="X186" s="68"/>
      <c r="Y186" s="654">
        <f t="shared" si="122"/>
        <v>0</v>
      </c>
      <c r="Z186" s="659"/>
      <c r="AA186" s="658">
        <f t="shared" si="123"/>
        <v>0</v>
      </c>
      <c r="AB186" s="68"/>
      <c r="AC186" s="654">
        <f t="shared" si="124"/>
        <v>0</v>
      </c>
      <c r="AD186" s="660">
        <v>10</v>
      </c>
      <c r="AE186" s="661"/>
      <c r="AF186" s="1226"/>
      <c r="AG186" s="662">
        <f t="shared" si="129"/>
        <v>5</v>
      </c>
      <c r="AH186" s="1003">
        <f t="shared" si="130"/>
        <v>0</v>
      </c>
      <c r="AI186" s="1004">
        <f aca="true" t="shared" si="132" ref="AI186:AI203">SUM(AC186+AA186+Y186+W186+U186+S186+Q186+O186+M186+K186+I186+G186)</f>
        <v>0</v>
      </c>
      <c r="AJ186" s="1005">
        <f aca="true" t="shared" si="133" ref="AJ186:AJ252">SUM(F186+H186+J186+L186+N186+P186+R186+T186+V186+X186+Z186+AB186)</f>
        <v>0</v>
      </c>
      <c r="AK186" s="1006">
        <v>12</v>
      </c>
      <c r="AL186" s="1007"/>
      <c r="AM186" s="1007">
        <v>7</v>
      </c>
      <c r="AN186" s="1007"/>
      <c r="AO186" s="1007"/>
      <c r="AP186" s="1008">
        <f t="shared" si="100"/>
        <v>5</v>
      </c>
      <c r="AQ186" s="1009"/>
    </row>
    <row r="187" spans="1:43" ht="31.5">
      <c r="A187" s="1173"/>
      <c r="B187" s="1227" t="s">
        <v>602</v>
      </c>
      <c r="C187" s="525" t="s">
        <v>745</v>
      </c>
      <c r="D187" s="999">
        <v>20</v>
      </c>
      <c r="E187" s="1000"/>
      <c r="F187" s="659"/>
      <c r="G187" s="658">
        <f t="shared" si="101"/>
        <v>0</v>
      </c>
      <c r="H187" s="68"/>
      <c r="I187" s="654">
        <f t="shared" si="102"/>
        <v>0</v>
      </c>
      <c r="J187" s="659"/>
      <c r="K187" s="658">
        <f t="shared" si="103"/>
        <v>0</v>
      </c>
      <c r="L187" s="68"/>
      <c r="M187" s="654">
        <f t="shared" si="116"/>
        <v>0</v>
      </c>
      <c r="N187" s="659"/>
      <c r="O187" s="658">
        <f t="shared" si="126"/>
        <v>0</v>
      </c>
      <c r="P187" s="657"/>
      <c r="Q187" s="654">
        <f t="shared" si="118"/>
        <v>0</v>
      </c>
      <c r="R187" s="68"/>
      <c r="S187" s="654">
        <f t="shared" si="131"/>
        <v>0</v>
      </c>
      <c r="T187" s="68"/>
      <c r="U187" s="654">
        <f t="shared" si="120"/>
        <v>0</v>
      </c>
      <c r="V187" s="659"/>
      <c r="W187" s="658">
        <f t="shared" si="121"/>
        <v>0</v>
      </c>
      <c r="X187" s="68"/>
      <c r="Y187" s="654">
        <f t="shared" si="122"/>
        <v>0</v>
      </c>
      <c r="Z187" s="659"/>
      <c r="AA187" s="658">
        <f t="shared" si="123"/>
        <v>0</v>
      </c>
      <c r="AB187" s="68"/>
      <c r="AC187" s="654">
        <f t="shared" si="124"/>
        <v>0</v>
      </c>
      <c r="AD187" s="660">
        <f>'[1]Commande Souvenirs, librairie'!F119</f>
        <v>11.89</v>
      </c>
      <c r="AE187" s="661"/>
      <c r="AF187" s="1226"/>
      <c r="AG187" s="662">
        <f t="shared" si="129"/>
        <v>8.11</v>
      </c>
      <c r="AH187" s="1003">
        <f t="shared" si="130"/>
        <v>0</v>
      </c>
      <c r="AI187" s="1004">
        <f t="shared" si="132"/>
        <v>0</v>
      </c>
      <c r="AJ187" s="1005">
        <f t="shared" si="133"/>
        <v>0</v>
      </c>
      <c r="AK187" s="1006">
        <v>7</v>
      </c>
      <c r="AL187" s="1007"/>
      <c r="AM187" s="1007"/>
      <c r="AN187" s="1007"/>
      <c r="AO187" s="1007"/>
      <c r="AP187" s="1008">
        <f t="shared" si="100"/>
        <v>7</v>
      </c>
      <c r="AQ187" s="1009"/>
    </row>
    <row r="188" spans="1:43" ht="31.5">
      <c r="A188" s="1173"/>
      <c r="B188" s="1228" t="s">
        <v>746</v>
      </c>
      <c r="C188" s="526" t="s">
        <v>389</v>
      </c>
      <c r="D188" s="1032">
        <v>15</v>
      </c>
      <c r="E188" s="1033"/>
      <c r="F188" s="683"/>
      <c r="G188" s="682">
        <f t="shared" si="101"/>
        <v>0</v>
      </c>
      <c r="H188" s="680"/>
      <c r="I188" s="677">
        <f t="shared" si="102"/>
        <v>0</v>
      </c>
      <c r="J188" s="683"/>
      <c r="K188" s="682">
        <f t="shared" si="103"/>
        <v>0</v>
      </c>
      <c r="L188" s="680"/>
      <c r="M188" s="677">
        <f t="shared" si="116"/>
        <v>0</v>
      </c>
      <c r="N188" s="683"/>
      <c r="O188" s="682">
        <f t="shared" si="126"/>
        <v>0</v>
      </c>
      <c r="P188" s="681"/>
      <c r="Q188" s="677">
        <f t="shared" si="118"/>
        <v>0</v>
      </c>
      <c r="R188" s="680"/>
      <c r="S188" s="677">
        <f t="shared" si="131"/>
        <v>0</v>
      </c>
      <c r="T188" s="680"/>
      <c r="U188" s="677">
        <f t="shared" si="120"/>
        <v>0</v>
      </c>
      <c r="V188" s="683"/>
      <c r="W188" s="682">
        <f t="shared" si="121"/>
        <v>0</v>
      </c>
      <c r="X188" s="680"/>
      <c r="Y188" s="677">
        <f t="shared" si="122"/>
        <v>0</v>
      </c>
      <c r="Z188" s="683"/>
      <c r="AA188" s="682">
        <f t="shared" si="123"/>
        <v>0</v>
      </c>
      <c r="AB188" s="680"/>
      <c r="AC188" s="677">
        <f t="shared" si="124"/>
        <v>0</v>
      </c>
      <c r="AD188" s="684">
        <v>9.49</v>
      </c>
      <c r="AE188" s="685"/>
      <c r="AF188" s="1229"/>
      <c r="AG188" s="686">
        <f t="shared" si="129"/>
        <v>5.51</v>
      </c>
      <c r="AH188" s="1055">
        <f t="shared" si="130"/>
        <v>0</v>
      </c>
      <c r="AI188" s="1004">
        <f t="shared" si="132"/>
        <v>0</v>
      </c>
      <c r="AJ188" s="1005">
        <f t="shared" si="133"/>
        <v>0</v>
      </c>
      <c r="AK188" s="1006">
        <v>0</v>
      </c>
      <c r="AL188" s="1007"/>
      <c r="AM188" s="1007"/>
      <c r="AN188" s="1007"/>
      <c r="AO188" s="1007"/>
      <c r="AP188" s="1008">
        <f t="shared" si="100"/>
        <v>0</v>
      </c>
      <c r="AQ188" s="1009"/>
    </row>
    <row r="189" spans="1:43" ht="20.25">
      <c r="A189" s="1173"/>
      <c r="B189" s="1210"/>
      <c r="C189" s="1211" t="s">
        <v>747</v>
      </c>
      <c r="D189" s="999">
        <v>39.9</v>
      </c>
      <c r="E189" s="1000"/>
      <c r="F189" s="659"/>
      <c r="G189" s="658">
        <f t="shared" si="101"/>
        <v>0</v>
      </c>
      <c r="H189" s="68"/>
      <c r="I189" s="654">
        <f t="shared" si="102"/>
        <v>0</v>
      </c>
      <c r="J189" s="659"/>
      <c r="K189" s="658">
        <f t="shared" si="103"/>
        <v>0</v>
      </c>
      <c r="L189" s="68"/>
      <c r="M189" s="654">
        <f t="shared" si="116"/>
        <v>0</v>
      </c>
      <c r="N189" s="659"/>
      <c r="O189" s="658">
        <f t="shared" si="126"/>
        <v>0</v>
      </c>
      <c r="P189" s="657"/>
      <c r="Q189" s="654">
        <f t="shared" si="118"/>
        <v>0</v>
      </c>
      <c r="R189" s="68"/>
      <c r="S189" s="654">
        <f t="shared" si="131"/>
        <v>0</v>
      </c>
      <c r="T189" s="68"/>
      <c r="U189" s="654">
        <f t="shared" si="120"/>
        <v>0</v>
      </c>
      <c r="V189" s="659"/>
      <c r="W189" s="658">
        <f t="shared" si="121"/>
        <v>0</v>
      </c>
      <c r="X189" s="68"/>
      <c r="Y189" s="654">
        <f t="shared" si="122"/>
        <v>0</v>
      </c>
      <c r="Z189" s="659"/>
      <c r="AA189" s="658">
        <f t="shared" si="123"/>
        <v>0</v>
      </c>
      <c r="AB189" s="68"/>
      <c r="AC189" s="654">
        <f t="shared" si="124"/>
        <v>0</v>
      </c>
      <c r="AD189" s="660">
        <f>'[1]Commande Souvenirs, librairie'!F155</f>
        <v>27.85</v>
      </c>
      <c r="AE189" s="661"/>
      <c r="AF189" s="1212"/>
      <c r="AG189" s="662">
        <f t="shared" si="129"/>
        <v>12.049999999999997</v>
      </c>
      <c r="AH189" s="1003">
        <f t="shared" si="130"/>
        <v>0</v>
      </c>
      <c r="AI189" s="1004">
        <f t="shared" si="132"/>
        <v>0</v>
      </c>
      <c r="AJ189" s="1005">
        <f t="shared" si="133"/>
        <v>0</v>
      </c>
      <c r="AK189" s="1006">
        <v>21</v>
      </c>
      <c r="AL189" s="1007"/>
      <c r="AM189" s="1007"/>
      <c r="AN189" s="1007"/>
      <c r="AO189" s="1007"/>
      <c r="AP189" s="1008">
        <f t="shared" si="100"/>
        <v>21</v>
      </c>
      <c r="AQ189" s="1009"/>
    </row>
    <row r="190" spans="1:43" ht="20.25">
      <c r="A190" s="1173"/>
      <c r="B190" s="1210" t="s">
        <v>748</v>
      </c>
      <c r="C190" s="1211" t="s">
        <v>387</v>
      </c>
      <c r="D190" s="999">
        <v>18</v>
      </c>
      <c r="E190" s="1000"/>
      <c r="F190" s="659"/>
      <c r="G190" s="658">
        <f t="shared" si="101"/>
        <v>0</v>
      </c>
      <c r="H190" s="68"/>
      <c r="I190" s="654">
        <f t="shared" si="102"/>
        <v>0</v>
      </c>
      <c r="J190" s="659"/>
      <c r="K190" s="658">
        <f t="shared" si="103"/>
        <v>0</v>
      </c>
      <c r="L190" s="68"/>
      <c r="M190" s="654">
        <f t="shared" si="116"/>
        <v>0</v>
      </c>
      <c r="N190" s="659"/>
      <c r="O190" s="658">
        <f t="shared" si="126"/>
        <v>0</v>
      </c>
      <c r="P190" s="657"/>
      <c r="Q190" s="654">
        <f t="shared" si="118"/>
        <v>0</v>
      </c>
      <c r="R190" s="68"/>
      <c r="S190" s="654">
        <f t="shared" si="131"/>
        <v>0</v>
      </c>
      <c r="T190" s="68"/>
      <c r="U190" s="654">
        <f t="shared" si="120"/>
        <v>0</v>
      </c>
      <c r="V190" s="659"/>
      <c r="W190" s="658">
        <f t="shared" si="121"/>
        <v>0</v>
      </c>
      <c r="X190" s="68"/>
      <c r="Y190" s="654">
        <f t="shared" si="122"/>
        <v>0</v>
      </c>
      <c r="Z190" s="659"/>
      <c r="AA190" s="658">
        <f t="shared" si="123"/>
        <v>0</v>
      </c>
      <c r="AB190" s="68"/>
      <c r="AC190" s="654">
        <f t="shared" si="124"/>
        <v>0</v>
      </c>
      <c r="AD190" s="660"/>
      <c r="AE190" s="661"/>
      <c r="AF190" s="1212"/>
      <c r="AG190" s="662"/>
      <c r="AH190" s="1003">
        <f t="shared" si="130"/>
        <v>0</v>
      </c>
      <c r="AI190" s="1004">
        <f t="shared" si="132"/>
        <v>0</v>
      </c>
      <c r="AJ190" s="1005">
        <f t="shared" si="133"/>
        <v>0</v>
      </c>
      <c r="AK190" s="1006">
        <v>15</v>
      </c>
      <c r="AL190" s="1007"/>
      <c r="AM190" s="1007">
        <v>3</v>
      </c>
      <c r="AN190" s="1007"/>
      <c r="AO190" s="1007"/>
      <c r="AP190" s="1008">
        <f t="shared" si="100"/>
        <v>12</v>
      </c>
      <c r="AQ190" s="1009"/>
    </row>
    <row r="191" spans="1:43" ht="20.25">
      <c r="A191" s="1173"/>
      <c r="B191" s="1230" t="s">
        <v>749</v>
      </c>
      <c r="C191" s="1211" t="s">
        <v>377</v>
      </c>
      <c r="D191" s="999">
        <v>13.9</v>
      </c>
      <c r="E191" s="1000"/>
      <c r="F191" s="659"/>
      <c r="G191" s="658">
        <f t="shared" si="101"/>
        <v>0</v>
      </c>
      <c r="H191" s="68"/>
      <c r="I191" s="654">
        <f t="shared" si="102"/>
        <v>0</v>
      </c>
      <c r="J191" s="659"/>
      <c r="K191" s="658">
        <f t="shared" si="103"/>
        <v>0</v>
      </c>
      <c r="L191" s="68"/>
      <c r="M191" s="654">
        <f t="shared" si="116"/>
        <v>0</v>
      </c>
      <c r="N191" s="659"/>
      <c r="O191" s="658">
        <f t="shared" si="126"/>
        <v>0</v>
      </c>
      <c r="P191" s="657"/>
      <c r="Q191" s="654">
        <f t="shared" si="118"/>
        <v>0</v>
      </c>
      <c r="R191" s="68"/>
      <c r="S191" s="654">
        <f t="shared" si="131"/>
        <v>0</v>
      </c>
      <c r="T191" s="68"/>
      <c r="U191" s="654">
        <f t="shared" si="120"/>
        <v>0</v>
      </c>
      <c r="V191" s="659"/>
      <c r="W191" s="658">
        <f t="shared" si="121"/>
        <v>0</v>
      </c>
      <c r="X191" s="68"/>
      <c r="Y191" s="654">
        <f t="shared" si="122"/>
        <v>0</v>
      </c>
      <c r="Z191" s="659"/>
      <c r="AA191" s="658">
        <f t="shared" si="123"/>
        <v>0</v>
      </c>
      <c r="AB191" s="68"/>
      <c r="AC191" s="654">
        <f t="shared" si="124"/>
        <v>0</v>
      </c>
      <c r="AD191" s="660">
        <f>'[1]Commande Souvenirs, librairie'!F105</f>
        <v>9.732</v>
      </c>
      <c r="AE191" s="661"/>
      <c r="AF191" s="1212"/>
      <c r="AG191" s="662">
        <f aca="true" t="shared" si="134" ref="AG191:AG195">D191-AD191</f>
        <v>4.168000000000001</v>
      </c>
      <c r="AH191" s="1003">
        <f t="shared" si="130"/>
        <v>0</v>
      </c>
      <c r="AI191" s="1004">
        <f t="shared" si="132"/>
        <v>0</v>
      </c>
      <c r="AJ191" s="1005">
        <f t="shared" si="133"/>
        <v>0</v>
      </c>
      <c r="AK191" s="1006">
        <v>0</v>
      </c>
      <c r="AL191" s="1007"/>
      <c r="AM191" s="1007"/>
      <c r="AN191" s="1007"/>
      <c r="AO191" s="1007"/>
      <c r="AP191" s="1008">
        <f t="shared" si="100"/>
        <v>0</v>
      </c>
      <c r="AQ191" s="1009"/>
    </row>
    <row r="192" spans="1:43" ht="20.25">
      <c r="A192" s="1173"/>
      <c r="B192" s="1230"/>
      <c r="C192" s="1211" t="s">
        <v>379</v>
      </c>
      <c r="D192" s="999">
        <v>3.9</v>
      </c>
      <c r="E192" s="1000"/>
      <c r="F192" s="659"/>
      <c r="G192" s="658">
        <f t="shared" si="101"/>
        <v>0</v>
      </c>
      <c r="H192" s="68"/>
      <c r="I192" s="654">
        <f t="shared" si="102"/>
        <v>0</v>
      </c>
      <c r="J192" s="659">
        <v>1</v>
      </c>
      <c r="K192" s="658">
        <f t="shared" si="103"/>
        <v>3.9</v>
      </c>
      <c r="L192" s="68"/>
      <c r="M192" s="654">
        <f t="shared" si="116"/>
        <v>0</v>
      </c>
      <c r="N192" s="659"/>
      <c r="O192" s="658">
        <f t="shared" si="126"/>
        <v>0</v>
      </c>
      <c r="P192" s="657"/>
      <c r="Q192" s="654">
        <f t="shared" si="118"/>
        <v>0</v>
      </c>
      <c r="R192" s="68"/>
      <c r="S192" s="654">
        <f t="shared" si="131"/>
        <v>0</v>
      </c>
      <c r="T192" s="68"/>
      <c r="U192" s="654">
        <f t="shared" si="120"/>
        <v>0</v>
      </c>
      <c r="V192" s="659"/>
      <c r="W192" s="658">
        <f t="shared" si="121"/>
        <v>0</v>
      </c>
      <c r="X192" s="68"/>
      <c r="Y192" s="654">
        <f t="shared" si="122"/>
        <v>0</v>
      </c>
      <c r="Z192" s="659"/>
      <c r="AA192" s="658">
        <f t="shared" si="123"/>
        <v>0</v>
      </c>
      <c r="AB192" s="68"/>
      <c r="AC192" s="654">
        <f t="shared" si="124"/>
        <v>0</v>
      </c>
      <c r="AD192" s="660">
        <f>'[1]Commande Souvenirs, librairie'!F107</f>
        <v>2.73245</v>
      </c>
      <c r="AE192" s="661"/>
      <c r="AF192" s="1212"/>
      <c r="AG192" s="662">
        <f t="shared" si="134"/>
        <v>1.1675499999999999</v>
      </c>
      <c r="AH192" s="1003">
        <f t="shared" si="130"/>
        <v>1.1675499999999999</v>
      </c>
      <c r="AI192" s="1004">
        <f t="shared" si="132"/>
        <v>3.9</v>
      </c>
      <c r="AJ192" s="1005">
        <f t="shared" si="133"/>
        <v>1</v>
      </c>
      <c r="AK192" s="1006">
        <v>1</v>
      </c>
      <c r="AL192" s="1007"/>
      <c r="AM192" s="1007"/>
      <c r="AN192" s="1007"/>
      <c r="AO192" s="1007"/>
      <c r="AP192" s="1008">
        <f t="shared" si="100"/>
        <v>0</v>
      </c>
      <c r="AQ192" s="1009"/>
    </row>
    <row r="193" spans="1:43" ht="20.25">
      <c r="A193" s="1173"/>
      <c r="B193" s="1230"/>
      <c r="C193" s="1231" t="s">
        <v>750</v>
      </c>
      <c r="D193" s="1076">
        <v>14</v>
      </c>
      <c r="E193" s="1077"/>
      <c r="F193" s="912"/>
      <c r="G193" s="911">
        <f t="shared" si="101"/>
        <v>0</v>
      </c>
      <c r="H193" s="88"/>
      <c r="I193" s="907">
        <f t="shared" si="102"/>
        <v>0</v>
      </c>
      <c r="J193" s="912"/>
      <c r="K193" s="911">
        <f t="shared" si="103"/>
        <v>0</v>
      </c>
      <c r="L193" s="88"/>
      <c r="M193" s="907">
        <f t="shared" si="116"/>
        <v>0</v>
      </c>
      <c r="N193" s="912"/>
      <c r="O193" s="911">
        <f t="shared" si="126"/>
        <v>0</v>
      </c>
      <c r="P193" s="910"/>
      <c r="Q193" s="907">
        <f t="shared" si="118"/>
        <v>0</v>
      </c>
      <c r="R193" s="88"/>
      <c r="S193" s="907">
        <f t="shared" si="131"/>
        <v>0</v>
      </c>
      <c r="T193" s="88"/>
      <c r="U193" s="907">
        <f t="shared" si="120"/>
        <v>0</v>
      </c>
      <c r="V193" s="912"/>
      <c r="W193" s="911">
        <f t="shared" si="121"/>
        <v>0</v>
      </c>
      <c r="X193" s="88"/>
      <c r="Y193" s="907">
        <f t="shared" si="122"/>
        <v>0</v>
      </c>
      <c r="Z193" s="912"/>
      <c r="AA193" s="911">
        <f t="shared" si="123"/>
        <v>0</v>
      </c>
      <c r="AB193" s="88"/>
      <c r="AC193" s="907">
        <f t="shared" si="124"/>
        <v>0</v>
      </c>
      <c r="AD193" s="913">
        <f>'[1]Commande Souvenirs, librairie'!F106</f>
        <v>9.800949999999998</v>
      </c>
      <c r="AE193" s="1078"/>
      <c r="AF193" s="1219"/>
      <c r="AG193" s="1080">
        <f t="shared" si="134"/>
        <v>4.1990500000000015</v>
      </c>
      <c r="AH193" s="1081">
        <f t="shared" si="130"/>
        <v>0</v>
      </c>
      <c r="AI193" s="1082">
        <f t="shared" si="132"/>
        <v>0</v>
      </c>
      <c r="AJ193" s="1083">
        <f t="shared" si="133"/>
        <v>0</v>
      </c>
      <c r="AK193" s="1084">
        <v>1</v>
      </c>
      <c r="AL193" s="1220"/>
      <c r="AM193" s="1220"/>
      <c r="AN193" s="1220"/>
      <c r="AO193" s="1220"/>
      <c r="AP193" s="1086">
        <f t="shared" si="100"/>
        <v>1</v>
      </c>
      <c r="AQ193" s="1221"/>
    </row>
    <row r="194" spans="1:43" ht="21" customHeight="1">
      <c r="A194" s="1150" t="s">
        <v>751</v>
      </c>
      <c r="B194" s="1232" t="s">
        <v>752</v>
      </c>
      <c r="C194" s="1233" t="s">
        <v>753</v>
      </c>
      <c r="D194" s="1197">
        <v>19.3</v>
      </c>
      <c r="E194" s="1198"/>
      <c r="F194" s="1199"/>
      <c r="G194" s="1202">
        <f t="shared" si="101"/>
        <v>0</v>
      </c>
      <c r="H194" s="24"/>
      <c r="I194" s="1201">
        <f t="shared" si="102"/>
        <v>0</v>
      </c>
      <c r="J194" s="1199">
        <v>1</v>
      </c>
      <c r="K194" s="1202">
        <f t="shared" si="103"/>
        <v>19.3</v>
      </c>
      <c r="L194" s="24"/>
      <c r="M194" s="1201">
        <f t="shared" si="116"/>
        <v>0</v>
      </c>
      <c r="N194" s="1199"/>
      <c r="O194" s="1202">
        <f t="shared" si="126"/>
        <v>0</v>
      </c>
      <c r="P194" s="1203"/>
      <c r="Q194" s="1201">
        <f t="shared" si="118"/>
        <v>0</v>
      </c>
      <c r="R194" s="24"/>
      <c r="S194" s="1201">
        <f t="shared" si="131"/>
        <v>0</v>
      </c>
      <c r="T194" s="24"/>
      <c r="U194" s="1201">
        <f t="shared" si="120"/>
        <v>0</v>
      </c>
      <c r="V194" s="1199"/>
      <c r="W194" s="1202">
        <f t="shared" si="121"/>
        <v>0</v>
      </c>
      <c r="X194" s="24"/>
      <c r="Y194" s="1201">
        <f t="shared" si="122"/>
        <v>0</v>
      </c>
      <c r="Z194" s="1199"/>
      <c r="AA194" s="1202">
        <f t="shared" si="123"/>
        <v>0</v>
      </c>
      <c r="AB194" s="24"/>
      <c r="AC194" s="1201">
        <f t="shared" si="124"/>
        <v>0</v>
      </c>
      <c r="AD194" s="1204">
        <f>'[1]Commande Souvenirs, librairie'!F108</f>
        <v>15.4</v>
      </c>
      <c r="AE194" s="901"/>
      <c r="AF194" s="1234">
        <v>0.1</v>
      </c>
      <c r="AG194" s="1206">
        <f t="shared" si="134"/>
        <v>3.9000000000000004</v>
      </c>
      <c r="AH194" s="1207">
        <f t="shared" si="130"/>
        <v>3.9000000000000004</v>
      </c>
      <c r="AI194" s="992">
        <f t="shared" si="132"/>
        <v>19.3</v>
      </c>
      <c r="AJ194" s="993">
        <f t="shared" si="133"/>
        <v>1</v>
      </c>
      <c r="AK194" s="994">
        <v>1</v>
      </c>
      <c r="AL194" s="995"/>
      <c r="AM194" s="995"/>
      <c r="AN194" s="995"/>
      <c r="AO194" s="995"/>
      <c r="AP194" s="996">
        <f t="shared" si="100"/>
        <v>0</v>
      </c>
      <c r="AQ194" s="997"/>
    </row>
    <row r="195" spans="1:43" ht="20.25">
      <c r="A195" s="1150"/>
      <c r="B195" s="1232"/>
      <c r="C195" s="1159" t="s">
        <v>403</v>
      </c>
      <c r="D195" s="999">
        <v>16.5</v>
      </c>
      <c r="E195" s="1000"/>
      <c r="F195" s="659"/>
      <c r="G195" s="658">
        <f t="shared" si="101"/>
        <v>0</v>
      </c>
      <c r="H195" s="68"/>
      <c r="I195" s="654">
        <f t="shared" si="102"/>
        <v>0</v>
      </c>
      <c r="J195" s="659"/>
      <c r="K195" s="658">
        <f t="shared" si="103"/>
        <v>0</v>
      </c>
      <c r="L195" s="68"/>
      <c r="M195" s="654">
        <f t="shared" si="116"/>
        <v>0</v>
      </c>
      <c r="N195" s="659"/>
      <c r="O195" s="658">
        <f t="shared" si="126"/>
        <v>0</v>
      </c>
      <c r="P195" s="657"/>
      <c r="Q195" s="654">
        <f t="shared" si="118"/>
        <v>0</v>
      </c>
      <c r="R195" s="68"/>
      <c r="S195" s="654">
        <f t="shared" si="131"/>
        <v>0</v>
      </c>
      <c r="T195" s="68"/>
      <c r="U195" s="654">
        <f t="shared" si="120"/>
        <v>0</v>
      </c>
      <c r="V195" s="659"/>
      <c r="W195" s="658">
        <f t="shared" si="121"/>
        <v>0</v>
      </c>
      <c r="X195" s="68"/>
      <c r="Y195" s="654">
        <f t="shared" si="122"/>
        <v>0</v>
      </c>
      <c r="Z195" s="659"/>
      <c r="AA195" s="658">
        <f t="shared" si="123"/>
        <v>0</v>
      </c>
      <c r="AB195" s="68"/>
      <c r="AC195" s="654">
        <f t="shared" si="124"/>
        <v>0</v>
      </c>
      <c r="AD195" s="660">
        <f>'[1]Commande Souvenirs, librairie'!F109</f>
        <v>12.2</v>
      </c>
      <c r="AE195" s="661"/>
      <c r="AF195" s="1234"/>
      <c r="AG195" s="662">
        <f t="shared" si="134"/>
        <v>4.300000000000001</v>
      </c>
      <c r="AH195" s="1003">
        <f t="shared" si="130"/>
        <v>0</v>
      </c>
      <c r="AI195" s="1004">
        <f t="shared" si="132"/>
        <v>0</v>
      </c>
      <c r="AJ195" s="1005">
        <f t="shared" si="133"/>
        <v>0</v>
      </c>
      <c r="AK195" s="1006">
        <v>19</v>
      </c>
      <c r="AL195" s="1007">
        <v>15</v>
      </c>
      <c r="AM195" s="1007">
        <v>7</v>
      </c>
      <c r="AN195" s="1007"/>
      <c r="AO195" s="1007"/>
      <c r="AP195" s="1008">
        <f t="shared" si="100"/>
        <v>27</v>
      </c>
      <c r="AQ195" s="1009"/>
    </row>
    <row r="196" spans="1:43" ht="20.25">
      <c r="A196" s="1150"/>
      <c r="B196" s="1232"/>
      <c r="C196" s="1159" t="s">
        <v>754</v>
      </c>
      <c r="D196" s="999">
        <v>8.25</v>
      </c>
      <c r="E196" s="1000"/>
      <c r="F196" s="659"/>
      <c r="G196" s="658">
        <f t="shared" si="101"/>
        <v>0</v>
      </c>
      <c r="H196" s="68"/>
      <c r="I196" s="654">
        <f t="shared" si="102"/>
        <v>0</v>
      </c>
      <c r="J196" s="659">
        <v>2</v>
      </c>
      <c r="K196" s="658">
        <f t="shared" si="103"/>
        <v>16.5</v>
      </c>
      <c r="L196" s="68"/>
      <c r="M196" s="654">
        <f t="shared" si="116"/>
        <v>0</v>
      </c>
      <c r="N196" s="659"/>
      <c r="O196" s="658">
        <f t="shared" si="126"/>
        <v>0</v>
      </c>
      <c r="P196" s="657"/>
      <c r="Q196" s="654">
        <f t="shared" si="118"/>
        <v>0</v>
      </c>
      <c r="R196" s="68"/>
      <c r="S196" s="654">
        <f t="shared" si="131"/>
        <v>0</v>
      </c>
      <c r="T196" s="68"/>
      <c r="U196" s="654">
        <f t="shared" si="120"/>
        <v>0</v>
      </c>
      <c r="V196" s="659"/>
      <c r="W196" s="658">
        <f t="shared" si="121"/>
        <v>0</v>
      </c>
      <c r="X196" s="68"/>
      <c r="Y196" s="654">
        <f t="shared" si="122"/>
        <v>0</v>
      </c>
      <c r="Z196" s="659"/>
      <c r="AA196" s="658">
        <f t="shared" si="123"/>
        <v>0</v>
      </c>
      <c r="AB196" s="68"/>
      <c r="AC196" s="654">
        <f t="shared" si="124"/>
        <v>0</v>
      </c>
      <c r="AD196" s="660"/>
      <c r="AE196" s="661"/>
      <c r="AF196" s="1234"/>
      <c r="AG196" s="662"/>
      <c r="AH196" s="1003"/>
      <c r="AI196" s="1004">
        <f t="shared" si="132"/>
        <v>16.5</v>
      </c>
      <c r="AJ196" s="1005">
        <f t="shared" si="133"/>
        <v>2</v>
      </c>
      <c r="AK196" s="1006">
        <v>16</v>
      </c>
      <c r="AL196" s="1007"/>
      <c r="AM196" s="1007"/>
      <c r="AN196" s="1007"/>
      <c r="AO196" s="1007"/>
      <c r="AP196" s="1008">
        <f t="shared" si="100"/>
        <v>14</v>
      </c>
      <c r="AQ196" s="1009" t="s">
        <v>755</v>
      </c>
    </row>
    <row r="197" spans="1:43" ht="20.25">
      <c r="A197" s="1150"/>
      <c r="B197" s="1232"/>
      <c r="C197" s="1159" t="s">
        <v>756</v>
      </c>
      <c r="D197" s="999">
        <v>14</v>
      </c>
      <c r="E197" s="1000"/>
      <c r="F197" s="659"/>
      <c r="G197" s="658">
        <f t="shared" si="101"/>
        <v>0</v>
      </c>
      <c r="H197" s="68"/>
      <c r="I197" s="654">
        <f t="shared" si="102"/>
        <v>0</v>
      </c>
      <c r="J197" s="659"/>
      <c r="K197" s="658">
        <f t="shared" si="103"/>
        <v>0</v>
      </c>
      <c r="L197" s="68"/>
      <c r="M197" s="654">
        <f t="shared" si="116"/>
        <v>0</v>
      </c>
      <c r="N197" s="659"/>
      <c r="O197" s="658">
        <f t="shared" si="126"/>
        <v>0</v>
      </c>
      <c r="P197" s="657"/>
      <c r="Q197" s="654">
        <f t="shared" si="118"/>
        <v>0</v>
      </c>
      <c r="R197" s="68"/>
      <c r="S197" s="654">
        <f t="shared" si="131"/>
        <v>0</v>
      </c>
      <c r="T197" s="68"/>
      <c r="U197" s="654">
        <f t="shared" si="120"/>
        <v>0</v>
      </c>
      <c r="V197" s="659"/>
      <c r="W197" s="658">
        <f t="shared" si="121"/>
        <v>0</v>
      </c>
      <c r="X197" s="68"/>
      <c r="Y197" s="654">
        <f t="shared" si="122"/>
        <v>0</v>
      </c>
      <c r="Z197" s="659"/>
      <c r="AA197" s="658">
        <f t="shared" si="123"/>
        <v>0</v>
      </c>
      <c r="AB197" s="68"/>
      <c r="AC197" s="654">
        <f t="shared" si="124"/>
        <v>0</v>
      </c>
      <c r="AD197" s="660">
        <f>'[1]Commande Souvenirs, librairie'!F110</f>
        <v>10.23</v>
      </c>
      <c r="AE197" s="661"/>
      <c r="AF197" s="1234"/>
      <c r="AG197" s="662">
        <f>D197-AD197</f>
        <v>3.7699999999999996</v>
      </c>
      <c r="AH197" s="1003">
        <f>AG197*AJ197</f>
        <v>0</v>
      </c>
      <c r="AI197" s="1004">
        <f t="shared" si="132"/>
        <v>0</v>
      </c>
      <c r="AJ197" s="1005">
        <f t="shared" si="133"/>
        <v>0</v>
      </c>
      <c r="AK197" s="1006">
        <v>5</v>
      </c>
      <c r="AL197" s="1007"/>
      <c r="AM197" s="1007"/>
      <c r="AN197" s="1007"/>
      <c r="AO197" s="1007"/>
      <c r="AP197" s="1008">
        <f t="shared" si="100"/>
        <v>5</v>
      </c>
      <c r="AQ197" s="1009"/>
    </row>
    <row r="198" spans="1:43" ht="20.25">
      <c r="A198" s="1150"/>
      <c r="B198" s="1232"/>
      <c r="C198" s="1159" t="s">
        <v>757</v>
      </c>
      <c r="D198" s="999">
        <v>7</v>
      </c>
      <c r="E198" s="1000"/>
      <c r="F198" s="659"/>
      <c r="G198" s="658">
        <f t="shared" si="101"/>
        <v>0</v>
      </c>
      <c r="H198" s="68"/>
      <c r="I198" s="654">
        <f t="shared" si="102"/>
        <v>0</v>
      </c>
      <c r="J198" s="659"/>
      <c r="K198" s="658">
        <f t="shared" si="103"/>
        <v>0</v>
      </c>
      <c r="L198" s="68"/>
      <c r="M198" s="654">
        <f t="shared" si="116"/>
        <v>0</v>
      </c>
      <c r="N198" s="659"/>
      <c r="O198" s="658">
        <f t="shared" si="126"/>
        <v>0</v>
      </c>
      <c r="P198" s="657"/>
      <c r="Q198" s="654">
        <f t="shared" si="118"/>
        <v>0</v>
      </c>
      <c r="R198" s="68"/>
      <c r="S198" s="654">
        <f t="shared" si="131"/>
        <v>0</v>
      </c>
      <c r="T198" s="68"/>
      <c r="U198" s="654">
        <f t="shared" si="120"/>
        <v>0</v>
      </c>
      <c r="V198" s="659"/>
      <c r="W198" s="658">
        <f t="shared" si="121"/>
        <v>0</v>
      </c>
      <c r="X198" s="68"/>
      <c r="Y198" s="654">
        <f t="shared" si="122"/>
        <v>0</v>
      </c>
      <c r="Z198" s="659"/>
      <c r="AA198" s="658">
        <f t="shared" si="123"/>
        <v>0</v>
      </c>
      <c r="AB198" s="68"/>
      <c r="AC198" s="654">
        <f t="shared" si="124"/>
        <v>0</v>
      </c>
      <c r="AD198" s="660"/>
      <c r="AE198" s="661"/>
      <c r="AF198" s="1234"/>
      <c r="AG198" s="662"/>
      <c r="AH198" s="1003"/>
      <c r="AI198" s="1004">
        <f t="shared" si="132"/>
        <v>0</v>
      </c>
      <c r="AJ198" s="1005">
        <f t="shared" si="133"/>
        <v>0</v>
      </c>
      <c r="AK198" s="1006">
        <v>4</v>
      </c>
      <c r="AL198" s="1007"/>
      <c r="AM198" s="1007"/>
      <c r="AN198" s="1007"/>
      <c r="AO198" s="1007"/>
      <c r="AP198" s="1008">
        <f t="shared" si="100"/>
        <v>4</v>
      </c>
      <c r="AQ198" s="1009" t="s">
        <v>755</v>
      </c>
    </row>
    <row r="199" spans="1:43" ht="20.25">
      <c r="A199" s="1150"/>
      <c r="B199" s="1232"/>
      <c r="C199" s="1159" t="s">
        <v>758</v>
      </c>
      <c r="D199" s="999">
        <v>4.9</v>
      </c>
      <c r="E199" s="1000"/>
      <c r="F199" s="659"/>
      <c r="G199" s="658">
        <f t="shared" si="101"/>
        <v>0</v>
      </c>
      <c r="H199" s="68"/>
      <c r="I199" s="654">
        <f t="shared" si="102"/>
        <v>0</v>
      </c>
      <c r="J199" s="659"/>
      <c r="K199" s="658">
        <f t="shared" si="103"/>
        <v>0</v>
      </c>
      <c r="L199" s="68"/>
      <c r="M199" s="654">
        <f t="shared" si="116"/>
        <v>0</v>
      </c>
      <c r="N199" s="659"/>
      <c r="O199" s="658">
        <f t="shared" si="126"/>
        <v>0</v>
      </c>
      <c r="P199" s="657"/>
      <c r="Q199" s="654">
        <f t="shared" si="118"/>
        <v>0</v>
      </c>
      <c r="R199" s="68"/>
      <c r="S199" s="654">
        <f t="shared" si="131"/>
        <v>0</v>
      </c>
      <c r="T199" s="68"/>
      <c r="U199" s="654">
        <f t="shared" si="120"/>
        <v>0</v>
      </c>
      <c r="V199" s="659"/>
      <c r="W199" s="658">
        <f t="shared" si="121"/>
        <v>0</v>
      </c>
      <c r="X199" s="68"/>
      <c r="Y199" s="654">
        <f t="shared" si="122"/>
        <v>0</v>
      </c>
      <c r="Z199" s="659"/>
      <c r="AA199" s="658">
        <f t="shared" si="123"/>
        <v>0</v>
      </c>
      <c r="AB199" s="68"/>
      <c r="AC199" s="654">
        <f t="shared" si="124"/>
        <v>0</v>
      </c>
      <c r="AD199" s="660">
        <f>'[1]Commande Souvenirs, librairie'!F111</f>
        <v>3.12</v>
      </c>
      <c r="AE199" s="661"/>
      <c r="AF199" s="1234"/>
      <c r="AG199" s="662">
        <f aca="true" t="shared" si="135" ref="AG199:AG203">D199-AD199</f>
        <v>1.7800000000000002</v>
      </c>
      <c r="AH199" s="1003">
        <f aca="true" t="shared" si="136" ref="AH199:AH203">AG199*AJ199</f>
        <v>0</v>
      </c>
      <c r="AI199" s="1004">
        <f t="shared" si="132"/>
        <v>0</v>
      </c>
      <c r="AJ199" s="1005">
        <f t="shared" si="133"/>
        <v>0</v>
      </c>
      <c r="AK199" s="1006">
        <v>6</v>
      </c>
      <c r="AL199" s="1007"/>
      <c r="AM199" s="1007"/>
      <c r="AN199" s="1007"/>
      <c r="AO199" s="1007"/>
      <c r="AP199" s="1008">
        <f t="shared" si="100"/>
        <v>6</v>
      </c>
      <c r="AQ199" s="1009"/>
    </row>
    <row r="200" spans="1:43" ht="20.25">
      <c r="A200" s="1150"/>
      <c r="B200" s="1232"/>
      <c r="C200" s="1159" t="s">
        <v>759</v>
      </c>
      <c r="D200" s="999">
        <v>4.5</v>
      </c>
      <c r="E200" s="1000"/>
      <c r="F200" s="659"/>
      <c r="G200" s="658">
        <f t="shared" si="101"/>
        <v>0</v>
      </c>
      <c r="H200" s="68"/>
      <c r="I200" s="654">
        <f t="shared" si="102"/>
        <v>0</v>
      </c>
      <c r="J200" s="659"/>
      <c r="K200" s="658">
        <f t="shared" si="103"/>
        <v>0</v>
      </c>
      <c r="L200" s="68"/>
      <c r="M200" s="654">
        <f t="shared" si="116"/>
        <v>0</v>
      </c>
      <c r="N200" s="659"/>
      <c r="O200" s="658">
        <f t="shared" si="126"/>
        <v>0</v>
      </c>
      <c r="P200" s="657"/>
      <c r="Q200" s="654">
        <f t="shared" si="118"/>
        <v>0</v>
      </c>
      <c r="R200" s="68"/>
      <c r="S200" s="654">
        <f t="shared" si="131"/>
        <v>0</v>
      </c>
      <c r="T200" s="68"/>
      <c r="U200" s="654">
        <f t="shared" si="120"/>
        <v>0</v>
      </c>
      <c r="V200" s="659"/>
      <c r="W200" s="658">
        <f t="shared" si="121"/>
        <v>0</v>
      </c>
      <c r="X200" s="68"/>
      <c r="Y200" s="654">
        <f t="shared" si="122"/>
        <v>0</v>
      </c>
      <c r="Z200" s="659"/>
      <c r="AA200" s="658">
        <f t="shared" si="123"/>
        <v>0</v>
      </c>
      <c r="AB200" s="68"/>
      <c r="AC200" s="654">
        <f t="shared" si="124"/>
        <v>0</v>
      </c>
      <c r="AD200" s="660">
        <f>'[1]Commande Souvenirs, librairie'!F112</f>
        <v>3.35</v>
      </c>
      <c r="AE200" s="661"/>
      <c r="AF200" s="1234"/>
      <c r="AG200" s="662">
        <f t="shared" si="135"/>
        <v>1.15</v>
      </c>
      <c r="AH200" s="1003">
        <f t="shared" si="136"/>
        <v>0</v>
      </c>
      <c r="AI200" s="1004">
        <f t="shared" si="132"/>
        <v>0</v>
      </c>
      <c r="AJ200" s="1005">
        <f t="shared" si="133"/>
        <v>0</v>
      </c>
      <c r="AK200" s="1006">
        <v>10</v>
      </c>
      <c r="AL200" s="1007"/>
      <c r="AM200" s="1007"/>
      <c r="AN200" s="1007"/>
      <c r="AO200" s="1007"/>
      <c r="AP200" s="1008">
        <f t="shared" si="100"/>
        <v>10</v>
      </c>
      <c r="AQ200" s="1009" t="s">
        <v>760</v>
      </c>
    </row>
    <row r="201" spans="1:43" ht="20.25">
      <c r="A201" s="1150"/>
      <c r="B201" s="1232"/>
      <c r="C201" s="1159" t="s">
        <v>761</v>
      </c>
      <c r="D201" s="999">
        <v>18.3</v>
      </c>
      <c r="E201" s="1000"/>
      <c r="F201" s="659"/>
      <c r="G201" s="658">
        <f t="shared" si="101"/>
        <v>0</v>
      </c>
      <c r="H201" s="68"/>
      <c r="I201" s="654">
        <f t="shared" si="102"/>
        <v>0</v>
      </c>
      <c r="J201" s="659"/>
      <c r="K201" s="658">
        <f t="shared" si="103"/>
        <v>0</v>
      </c>
      <c r="L201" s="68"/>
      <c r="M201" s="654">
        <f t="shared" si="116"/>
        <v>0</v>
      </c>
      <c r="N201" s="659"/>
      <c r="O201" s="658">
        <f t="shared" si="126"/>
        <v>0</v>
      </c>
      <c r="P201" s="657"/>
      <c r="Q201" s="654">
        <f t="shared" si="118"/>
        <v>0</v>
      </c>
      <c r="R201" s="68"/>
      <c r="S201" s="654">
        <f t="shared" si="131"/>
        <v>0</v>
      </c>
      <c r="T201" s="68"/>
      <c r="U201" s="654">
        <f t="shared" si="120"/>
        <v>0</v>
      </c>
      <c r="V201" s="659"/>
      <c r="W201" s="658">
        <f t="shared" si="121"/>
        <v>0</v>
      </c>
      <c r="X201" s="68"/>
      <c r="Y201" s="654">
        <f t="shared" si="122"/>
        <v>0</v>
      </c>
      <c r="Z201" s="659"/>
      <c r="AA201" s="658">
        <f t="shared" si="123"/>
        <v>0</v>
      </c>
      <c r="AB201" s="68"/>
      <c r="AC201" s="654">
        <f t="shared" si="124"/>
        <v>0</v>
      </c>
      <c r="AD201" s="660">
        <v>13.3</v>
      </c>
      <c r="AE201" s="661">
        <v>14.63</v>
      </c>
      <c r="AF201" s="1234"/>
      <c r="AG201" s="662">
        <f t="shared" si="135"/>
        <v>5</v>
      </c>
      <c r="AH201" s="1003">
        <f t="shared" si="136"/>
        <v>0</v>
      </c>
      <c r="AI201" s="1004">
        <f t="shared" si="132"/>
        <v>0</v>
      </c>
      <c r="AJ201" s="1005">
        <f t="shared" si="133"/>
        <v>0</v>
      </c>
      <c r="AK201" s="1006">
        <v>7</v>
      </c>
      <c r="AL201" s="1007"/>
      <c r="AM201" s="1007"/>
      <c r="AN201" s="1007"/>
      <c r="AO201" s="1007"/>
      <c r="AP201" s="1008">
        <f t="shared" si="100"/>
        <v>7</v>
      </c>
      <c r="AQ201" s="1009"/>
    </row>
    <row r="202" spans="1:43" ht="20.25">
      <c r="A202" s="1150"/>
      <c r="B202" s="1232"/>
      <c r="C202" s="1159" t="s">
        <v>762</v>
      </c>
      <c r="D202" s="999">
        <v>4.2</v>
      </c>
      <c r="E202" s="1000"/>
      <c r="F202" s="659"/>
      <c r="G202" s="658">
        <f t="shared" si="101"/>
        <v>0</v>
      </c>
      <c r="H202" s="68"/>
      <c r="I202" s="654">
        <f t="shared" si="102"/>
        <v>0</v>
      </c>
      <c r="J202" s="659"/>
      <c r="K202" s="658">
        <f t="shared" si="103"/>
        <v>0</v>
      </c>
      <c r="L202" s="68"/>
      <c r="M202" s="654">
        <f t="shared" si="116"/>
        <v>0</v>
      </c>
      <c r="N202" s="659"/>
      <c r="O202" s="658">
        <f t="shared" si="126"/>
        <v>0</v>
      </c>
      <c r="P202" s="657"/>
      <c r="Q202" s="654">
        <f t="shared" si="118"/>
        <v>0</v>
      </c>
      <c r="R202" s="68"/>
      <c r="S202" s="654">
        <f t="shared" si="131"/>
        <v>0</v>
      </c>
      <c r="T202" s="68"/>
      <c r="U202" s="654">
        <f t="shared" si="120"/>
        <v>0</v>
      </c>
      <c r="V202" s="659"/>
      <c r="W202" s="658">
        <f t="shared" si="121"/>
        <v>0</v>
      </c>
      <c r="X202" s="68"/>
      <c r="Y202" s="654">
        <f t="shared" si="122"/>
        <v>0</v>
      </c>
      <c r="Z202" s="659"/>
      <c r="AA202" s="658">
        <f t="shared" si="123"/>
        <v>0</v>
      </c>
      <c r="AB202" s="68"/>
      <c r="AC202" s="654">
        <f t="shared" si="124"/>
        <v>0</v>
      </c>
      <c r="AD202" s="660">
        <f>'[1]Commande Souvenirs, librairie'!F113</f>
        <v>3.2</v>
      </c>
      <c r="AE202" s="661"/>
      <c r="AF202" s="1234"/>
      <c r="AG202" s="662">
        <f t="shared" si="135"/>
        <v>1</v>
      </c>
      <c r="AH202" s="1003">
        <f t="shared" si="136"/>
        <v>0</v>
      </c>
      <c r="AI202" s="1004">
        <f t="shared" si="132"/>
        <v>0</v>
      </c>
      <c r="AJ202" s="1005">
        <f t="shared" si="133"/>
        <v>0</v>
      </c>
      <c r="AK202" s="1006">
        <v>0</v>
      </c>
      <c r="AL202" s="1007"/>
      <c r="AM202" s="1007"/>
      <c r="AN202" s="1007"/>
      <c r="AO202" s="1007"/>
      <c r="AP202" s="1008">
        <f t="shared" si="100"/>
        <v>0</v>
      </c>
      <c r="AQ202" s="1009"/>
    </row>
    <row r="203" spans="1:43" ht="20.25">
      <c r="A203" s="1150"/>
      <c r="B203" s="1232"/>
      <c r="C203" s="1162" t="s">
        <v>763</v>
      </c>
      <c r="D203" s="1011">
        <v>4.2</v>
      </c>
      <c r="E203" s="1012"/>
      <c r="F203" s="706"/>
      <c r="G203" s="705">
        <f t="shared" si="101"/>
        <v>0</v>
      </c>
      <c r="H203" s="703">
        <v>1</v>
      </c>
      <c r="I203" s="700">
        <f t="shared" si="102"/>
        <v>4.2</v>
      </c>
      <c r="J203" s="706">
        <v>1</v>
      </c>
      <c r="K203" s="705">
        <f t="shared" si="103"/>
        <v>4.2</v>
      </c>
      <c r="L203" s="703">
        <v>2</v>
      </c>
      <c r="M203" s="700">
        <f t="shared" si="116"/>
        <v>8.4</v>
      </c>
      <c r="N203" s="706"/>
      <c r="O203" s="705">
        <f t="shared" si="126"/>
        <v>0</v>
      </c>
      <c r="P203" s="704">
        <v>6</v>
      </c>
      <c r="Q203" s="700">
        <f t="shared" si="118"/>
        <v>25.200000000000003</v>
      </c>
      <c r="R203" s="703"/>
      <c r="S203" s="700">
        <f t="shared" si="131"/>
        <v>0</v>
      </c>
      <c r="T203" s="703"/>
      <c r="U203" s="700">
        <f t="shared" si="120"/>
        <v>0</v>
      </c>
      <c r="V203" s="706"/>
      <c r="W203" s="705">
        <f t="shared" si="121"/>
        <v>0</v>
      </c>
      <c r="X203" s="703"/>
      <c r="Y203" s="700">
        <f t="shared" si="122"/>
        <v>0</v>
      </c>
      <c r="Z203" s="706"/>
      <c r="AA203" s="705">
        <f t="shared" si="123"/>
        <v>0</v>
      </c>
      <c r="AB203" s="703"/>
      <c r="AC203" s="700">
        <f t="shared" si="124"/>
        <v>0</v>
      </c>
      <c r="AD203" s="707">
        <f>'[1]Commande Souvenirs, librairie'!F114</f>
        <v>3.12</v>
      </c>
      <c r="AE203" s="708"/>
      <c r="AF203" s="1234"/>
      <c r="AG203" s="709">
        <f t="shared" si="135"/>
        <v>1.08</v>
      </c>
      <c r="AH203" s="1024">
        <f t="shared" si="136"/>
        <v>10.8</v>
      </c>
      <c r="AI203" s="1004">
        <f t="shared" si="132"/>
        <v>42.00000000000001</v>
      </c>
      <c r="AJ203" s="1005">
        <f t="shared" si="133"/>
        <v>10</v>
      </c>
      <c r="AK203" s="1006">
        <f>40+6+1+2+6+3</f>
        <v>58</v>
      </c>
      <c r="AL203" s="1007">
        <v>100</v>
      </c>
      <c r="AM203" s="1007">
        <v>57</v>
      </c>
      <c r="AN203" s="1007"/>
      <c r="AO203" s="1007"/>
      <c r="AP203" s="1008">
        <f t="shared" si="100"/>
        <v>91</v>
      </c>
      <c r="AQ203" s="1009"/>
    </row>
    <row r="204" spans="1:43" ht="20.25">
      <c r="A204" s="1150"/>
      <c r="B204" s="1235" t="s">
        <v>410</v>
      </c>
      <c r="C204" s="1236" t="s">
        <v>764</v>
      </c>
      <c r="D204" s="1032">
        <v>10</v>
      </c>
      <c r="E204" s="1033"/>
      <c r="F204" s="683"/>
      <c r="G204" s="682">
        <f t="shared" si="101"/>
        <v>0</v>
      </c>
      <c r="H204" s="680"/>
      <c r="I204" s="677"/>
      <c r="J204" s="683"/>
      <c r="K204" s="682"/>
      <c r="L204" s="680"/>
      <c r="M204" s="677"/>
      <c r="N204" s="683"/>
      <c r="O204" s="682">
        <f t="shared" si="126"/>
        <v>0</v>
      </c>
      <c r="P204" s="681"/>
      <c r="Q204" s="677">
        <f t="shared" si="118"/>
        <v>0</v>
      </c>
      <c r="R204" s="680"/>
      <c r="S204" s="677">
        <f t="shared" si="131"/>
        <v>0</v>
      </c>
      <c r="T204" s="680"/>
      <c r="U204" s="677">
        <f t="shared" si="120"/>
        <v>0</v>
      </c>
      <c r="V204" s="683"/>
      <c r="W204" s="682">
        <f t="shared" si="121"/>
        <v>0</v>
      </c>
      <c r="X204" s="680"/>
      <c r="Y204" s="677">
        <f t="shared" si="122"/>
        <v>0</v>
      </c>
      <c r="Z204" s="683"/>
      <c r="AA204" s="682">
        <f t="shared" si="123"/>
        <v>0</v>
      </c>
      <c r="AB204" s="680"/>
      <c r="AC204" s="677">
        <f t="shared" si="124"/>
        <v>0</v>
      </c>
      <c r="AD204" s="684"/>
      <c r="AE204" s="685"/>
      <c r="AF204" s="1237"/>
      <c r="AG204" s="686"/>
      <c r="AH204" s="1055"/>
      <c r="AI204" s="1058"/>
      <c r="AJ204" s="1005">
        <f t="shared" si="133"/>
        <v>0</v>
      </c>
      <c r="AK204" s="1041">
        <v>0</v>
      </c>
      <c r="AL204" s="1042">
        <v>6</v>
      </c>
      <c r="AM204" s="1042">
        <v>3</v>
      </c>
      <c r="AN204" s="1042"/>
      <c r="AO204" s="1042"/>
      <c r="AP204" s="1008">
        <f t="shared" si="100"/>
        <v>3</v>
      </c>
      <c r="AQ204" s="1044"/>
    </row>
    <row r="205" spans="1:43" ht="20.25">
      <c r="A205" s="1150"/>
      <c r="B205" s="1235"/>
      <c r="C205" s="1236" t="s">
        <v>765</v>
      </c>
      <c r="D205" s="1032">
        <v>8.3</v>
      </c>
      <c r="E205" s="1033"/>
      <c r="F205" s="683"/>
      <c r="G205" s="682">
        <f t="shared" si="101"/>
        <v>0</v>
      </c>
      <c r="H205" s="680"/>
      <c r="I205" s="677"/>
      <c r="J205" s="683"/>
      <c r="K205" s="682"/>
      <c r="L205" s="680"/>
      <c r="M205" s="677"/>
      <c r="N205" s="683"/>
      <c r="O205" s="682">
        <f t="shared" si="126"/>
        <v>0</v>
      </c>
      <c r="P205" s="681"/>
      <c r="Q205" s="677">
        <f t="shared" si="118"/>
        <v>0</v>
      </c>
      <c r="R205" s="680"/>
      <c r="S205" s="677">
        <f t="shared" si="131"/>
        <v>0</v>
      </c>
      <c r="T205" s="680"/>
      <c r="U205" s="677">
        <f t="shared" si="120"/>
        <v>0</v>
      </c>
      <c r="V205" s="683"/>
      <c r="W205" s="682">
        <f t="shared" si="121"/>
        <v>0</v>
      </c>
      <c r="X205" s="680"/>
      <c r="Y205" s="677">
        <f t="shared" si="122"/>
        <v>0</v>
      </c>
      <c r="Z205" s="683"/>
      <c r="AA205" s="682">
        <f t="shared" si="123"/>
        <v>0</v>
      </c>
      <c r="AB205" s="680"/>
      <c r="AC205" s="677">
        <f t="shared" si="124"/>
        <v>0</v>
      </c>
      <c r="AD205" s="684"/>
      <c r="AE205" s="685"/>
      <c r="AF205" s="1237"/>
      <c r="AG205" s="686"/>
      <c r="AH205" s="1055"/>
      <c r="AI205" s="1058"/>
      <c r="AJ205" s="1005">
        <f t="shared" si="133"/>
        <v>0</v>
      </c>
      <c r="AK205" s="1041">
        <v>0</v>
      </c>
      <c r="AL205" s="1042">
        <v>6</v>
      </c>
      <c r="AM205" s="1042">
        <v>3</v>
      </c>
      <c r="AN205" s="1042"/>
      <c r="AO205" s="1042"/>
      <c r="AP205" s="1008">
        <f t="shared" si="100"/>
        <v>3</v>
      </c>
      <c r="AQ205" s="1044"/>
    </row>
    <row r="206" spans="1:43" ht="20.25">
      <c r="A206" s="1150"/>
      <c r="B206" s="1235"/>
      <c r="C206" s="1236" t="s">
        <v>766</v>
      </c>
      <c r="D206" s="1032">
        <v>14.5</v>
      </c>
      <c r="E206" s="1033"/>
      <c r="F206" s="683"/>
      <c r="G206" s="682">
        <f t="shared" si="101"/>
        <v>0</v>
      </c>
      <c r="H206" s="680"/>
      <c r="I206" s="677"/>
      <c r="J206" s="683"/>
      <c r="K206" s="682"/>
      <c r="L206" s="680"/>
      <c r="M206" s="677"/>
      <c r="N206" s="683"/>
      <c r="O206" s="682">
        <f t="shared" si="126"/>
        <v>0</v>
      </c>
      <c r="P206" s="681"/>
      <c r="Q206" s="677">
        <f t="shared" si="118"/>
        <v>0</v>
      </c>
      <c r="R206" s="680"/>
      <c r="S206" s="677">
        <f t="shared" si="131"/>
        <v>0</v>
      </c>
      <c r="T206" s="680"/>
      <c r="U206" s="677">
        <f t="shared" si="120"/>
        <v>0</v>
      </c>
      <c r="V206" s="683"/>
      <c r="W206" s="682">
        <f t="shared" si="121"/>
        <v>0</v>
      </c>
      <c r="X206" s="680"/>
      <c r="Y206" s="677">
        <f t="shared" si="122"/>
        <v>0</v>
      </c>
      <c r="Z206" s="683"/>
      <c r="AA206" s="682">
        <f t="shared" si="123"/>
        <v>0</v>
      </c>
      <c r="AB206" s="680"/>
      <c r="AC206" s="677">
        <f t="shared" si="124"/>
        <v>0</v>
      </c>
      <c r="AD206" s="684"/>
      <c r="AE206" s="685"/>
      <c r="AF206" s="1237"/>
      <c r="AG206" s="686"/>
      <c r="AH206" s="1055"/>
      <c r="AI206" s="1058"/>
      <c r="AJ206" s="1005">
        <f t="shared" si="133"/>
        <v>0</v>
      </c>
      <c r="AK206" s="1041">
        <v>0</v>
      </c>
      <c r="AL206" s="1042">
        <v>6</v>
      </c>
      <c r="AM206" s="1042">
        <v>3</v>
      </c>
      <c r="AN206" s="1042"/>
      <c r="AO206" s="1042"/>
      <c r="AP206" s="1008">
        <f t="shared" si="100"/>
        <v>3</v>
      </c>
      <c r="AQ206" s="1044"/>
    </row>
    <row r="207" spans="1:43" ht="20.25">
      <c r="A207" s="1150"/>
      <c r="B207" s="1238" t="s">
        <v>577</v>
      </c>
      <c r="C207" s="1218" t="s">
        <v>767</v>
      </c>
      <c r="D207" s="1076">
        <v>22.5</v>
      </c>
      <c r="E207" s="1077"/>
      <c r="F207" s="912"/>
      <c r="G207" s="911">
        <f t="shared" si="101"/>
        <v>0</v>
      </c>
      <c r="H207" s="88"/>
      <c r="I207" s="907">
        <f aca="true" t="shared" si="137" ref="I207:I252">H207*D207</f>
        <v>0</v>
      </c>
      <c r="J207" s="912"/>
      <c r="K207" s="911">
        <f aca="true" t="shared" si="138" ref="K207:K252">J207*D207</f>
        <v>0</v>
      </c>
      <c r="L207" s="88"/>
      <c r="M207" s="907">
        <f aca="true" t="shared" si="139" ref="M207:M252">L207*D207</f>
        <v>0</v>
      </c>
      <c r="N207" s="912"/>
      <c r="O207" s="911">
        <f t="shared" si="126"/>
        <v>0</v>
      </c>
      <c r="P207" s="910"/>
      <c r="Q207" s="907">
        <f t="shared" si="118"/>
        <v>0</v>
      </c>
      <c r="R207" s="88"/>
      <c r="S207" s="907">
        <f t="shared" si="131"/>
        <v>0</v>
      </c>
      <c r="T207" s="88"/>
      <c r="U207" s="907">
        <f t="shared" si="120"/>
        <v>0</v>
      </c>
      <c r="V207" s="912"/>
      <c r="W207" s="911">
        <f t="shared" si="121"/>
        <v>0</v>
      </c>
      <c r="X207" s="88"/>
      <c r="Y207" s="907">
        <f t="shared" si="122"/>
        <v>0</v>
      </c>
      <c r="Z207" s="912"/>
      <c r="AA207" s="911">
        <f t="shared" si="123"/>
        <v>0</v>
      </c>
      <c r="AB207" s="88"/>
      <c r="AC207" s="907">
        <f t="shared" si="124"/>
        <v>0</v>
      </c>
      <c r="AD207" s="913">
        <f>'[1]Commande Souvenirs, librairie'!F117</f>
        <v>8.33</v>
      </c>
      <c r="AE207" s="1078"/>
      <c r="AF207" s="1079"/>
      <c r="AG207" s="1080">
        <f aca="true" t="shared" si="140" ref="AG207:AG212">D207-AD207</f>
        <v>14.17</v>
      </c>
      <c r="AH207" s="1081">
        <f aca="true" t="shared" si="141" ref="AH207:AH237">AG207*AJ207</f>
        <v>0</v>
      </c>
      <c r="AI207" s="1082">
        <f aca="true" t="shared" si="142" ref="AI207:AI252">SUM(AC207+AA207+Y207+W207+U207+S207+Q207+O207+M207+K207+I207+G207)</f>
        <v>0</v>
      </c>
      <c r="AJ207" s="1005">
        <f t="shared" si="133"/>
        <v>0</v>
      </c>
      <c r="AK207" s="1084">
        <v>0</v>
      </c>
      <c r="AL207" s="1220">
        <v>10</v>
      </c>
      <c r="AM207" s="1220">
        <v>5</v>
      </c>
      <c r="AN207" s="1220"/>
      <c r="AO207" s="1220"/>
      <c r="AP207" s="1008">
        <f t="shared" si="100"/>
        <v>5</v>
      </c>
      <c r="AQ207" s="1221"/>
    </row>
    <row r="208" spans="1:43" ht="24" customHeight="1">
      <c r="A208" s="1239" t="s">
        <v>460</v>
      </c>
      <c r="B208" s="1240" t="s">
        <v>460</v>
      </c>
      <c r="C208" s="1241" t="s">
        <v>461</v>
      </c>
      <c r="D208" s="1242">
        <v>7</v>
      </c>
      <c r="E208" s="1243"/>
      <c r="F208" s="1244"/>
      <c r="G208" s="1245">
        <f t="shared" si="101"/>
        <v>0</v>
      </c>
      <c r="H208" s="1246"/>
      <c r="I208" s="1247">
        <f t="shared" si="137"/>
        <v>0</v>
      </c>
      <c r="J208" s="1244">
        <v>1</v>
      </c>
      <c r="K208" s="1245">
        <f t="shared" si="138"/>
        <v>7</v>
      </c>
      <c r="L208" s="1246"/>
      <c r="M208" s="1247">
        <f t="shared" si="139"/>
        <v>0</v>
      </c>
      <c r="N208" s="1244"/>
      <c r="O208" s="1245">
        <f t="shared" si="126"/>
        <v>0</v>
      </c>
      <c r="P208" s="1248"/>
      <c r="Q208" s="1247">
        <f t="shared" si="118"/>
        <v>0</v>
      </c>
      <c r="R208" s="1246"/>
      <c r="S208" s="1247">
        <f t="shared" si="131"/>
        <v>0</v>
      </c>
      <c r="T208" s="1246"/>
      <c r="U208" s="1247">
        <f t="shared" si="120"/>
        <v>0</v>
      </c>
      <c r="V208" s="1244"/>
      <c r="W208" s="1245">
        <f t="shared" si="121"/>
        <v>0</v>
      </c>
      <c r="X208" s="1246"/>
      <c r="Y208" s="1247">
        <f t="shared" si="122"/>
        <v>0</v>
      </c>
      <c r="Z208" s="1244"/>
      <c r="AA208" s="1245">
        <f t="shared" si="123"/>
        <v>0</v>
      </c>
      <c r="AB208" s="1246"/>
      <c r="AC208" s="1247">
        <f t="shared" si="124"/>
        <v>0</v>
      </c>
      <c r="AD208" s="1249">
        <f>'[1]Commande Souvenirs, librairie'!G134</f>
        <v>6.9</v>
      </c>
      <c r="AE208" s="780"/>
      <c r="AF208" s="1250">
        <v>0.2</v>
      </c>
      <c r="AG208" s="782">
        <f t="shared" si="140"/>
        <v>0.09999999999999964</v>
      </c>
      <c r="AH208" s="1251">
        <f t="shared" si="141"/>
        <v>0.09999999999999964</v>
      </c>
      <c r="AI208" s="992">
        <f t="shared" si="142"/>
        <v>7</v>
      </c>
      <c r="AJ208" s="993">
        <f t="shared" si="133"/>
        <v>1</v>
      </c>
      <c r="AK208" s="994">
        <v>5</v>
      </c>
      <c r="AL208" s="995"/>
      <c r="AM208" s="995"/>
      <c r="AN208" s="995"/>
      <c r="AO208" s="995"/>
      <c r="AP208" s="996">
        <f t="shared" si="100"/>
        <v>4</v>
      </c>
      <c r="AQ208" s="997"/>
    </row>
    <row r="209" spans="1:43" ht="20.25">
      <c r="A209" s="1239"/>
      <c r="B209" s="1240"/>
      <c r="C209" s="1252" t="s">
        <v>768</v>
      </c>
      <c r="D209" s="1076">
        <v>1</v>
      </c>
      <c r="E209" s="1077"/>
      <c r="F209" s="912"/>
      <c r="G209" s="911">
        <f t="shared" si="101"/>
        <v>0</v>
      </c>
      <c r="H209" s="88"/>
      <c r="I209" s="907">
        <f t="shared" si="137"/>
        <v>0</v>
      </c>
      <c r="J209" s="912"/>
      <c r="K209" s="911">
        <f t="shared" si="138"/>
        <v>0</v>
      </c>
      <c r="L209" s="88"/>
      <c r="M209" s="907">
        <f t="shared" si="139"/>
        <v>0</v>
      </c>
      <c r="N209" s="912"/>
      <c r="O209" s="911">
        <f t="shared" si="126"/>
        <v>0</v>
      </c>
      <c r="P209" s="910"/>
      <c r="Q209" s="907">
        <f t="shared" si="118"/>
        <v>0</v>
      </c>
      <c r="R209" s="88"/>
      <c r="S209" s="907">
        <f t="shared" si="131"/>
        <v>0</v>
      </c>
      <c r="T209" s="88"/>
      <c r="U209" s="907">
        <f t="shared" si="120"/>
        <v>0</v>
      </c>
      <c r="V209" s="912"/>
      <c r="W209" s="911">
        <f t="shared" si="121"/>
        <v>0</v>
      </c>
      <c r="X209" s="88"/>
      <c r="Y209" s="907">
        <f t="shared" si="122"/>
        <v>0</v>
      </c>
      <c r="Z209" s="912"/>
      <c r="AA209" s="911">
        <f t="shared" si="123"/>
        <v>0</v>
      </c>
      <c r="AB209" s="88"/>
      <c r="AC209" s="907">
        <f t="shared" si="124"/>
        <v>0</v>
      </c>
      <c r="AD209" s="913"/>
      <c r="AE209" s="1078"/>
      <c r="AF209" s="1253"/>
      <c r="AG209" s="1254">
        <f t="shared" si="140"/>
        <v>1</v>
      </c>
      <c r="AH209" s="1255">
        <f t="shared" si="141"/>
        <v>0</v>
      </c>
      <c r="AI209" s="1082">
        <f t="shared" si="142"/>
        <v>0</v>
      </c>
      <c r="AJ209" s="1083">
        <f t="shared" si="133"/>
        <v>0</v>
      </c>
      <c r="AK209" s="1084">
        <v>11</v>
      </c>
      <c r="AL209" s="1220"/>
      <c r="AM209" s="1220"/>
      <c r="AN209" s="1220"/>
      <c r="AO209" s="1220"/>
      <c r="AP209" s="1086">
        <f t="shared" si="100"/>
        <v>11</v>
      </c>
      <c r="AQ209" s="1221"/>
    </row>
    <row r="210" spans="1:43" ht="20.25">
      <c r="A210" s="1239" t="s">
        <v>15</v>
      </c>
      <c r="B210" s="1240" t="s">
        <v>769</v>
      </c>
      <c r="C210" s="1256" t="s">
        <v>459</v>
      </c>
      <c r="D210" s="1257">
        <v>2</v>
      </c>
      <c r="E210" s="1258"/>
      <c r="F210" s="1259"/>
      <c r="G210" s="1260">
        <f t="shared" si="101"/>
        <v>0</v>
      </c>
      <c r="H210" s="118"/>
      <c r="I210" s="923">
        <f t="shared" si="137"/>
        <v>0</v>
      </c>
      <c r="J210" s="1259"/>
      <c r="K210" s="1260">
        <f t="shared" si="138"/>
        <v>0</v>
      </c>
      <c r="L210" s="118"/>
      <c r="M210" s="923">
        <f t="shared" si="139"/>
        <v>0</v>
      </c>
      <c r="N210" s="1259"/>
      <c r="O210" s="1260">
        <f t="shared" si="126"/>
        <v>0</v>
      </c>
      <c r="P210" s="1261"/>
      <c r="Q210" s="923">
        <f t="shared" si="118"/>
        <v>0</v>
      </c>
      <c r="R210" s="118"/>
      <c r="S210" s="923">
        <f t="shared" si="131"/>
        <v>0</v>
      </c>
      <c r="T210" s="118"/>
      <c r="U210" s="923">
        <f t="shared" si="120"/>
        <v>0</v>
      </c>
      <c r="V210" s="1259"/>
      <c r="W210" s="1260">
        <f t="shared" si="121"/>
        <v>0</v>
      </c>
      <c r="X210" s="118"/>
      <c r="Y210" s="923">
        <f t="shared" si="122"/>
        <v>0</v>
      </c>
      <c r="Z210" s="1259"/>
      <c r="AA210" s="1260">
        <f t="shared" si="123"/>
        <v>0</v>
      </c>
      <c r="AB210" s="118"/>
      <c r="AC210" s="923">
        <f t="shared" si="124"/>
        <v>0</v>
      </c>
      <c r="AD210" s="1262"/>
      <c r="AE210" s="1263"/>
      <c r="AF210" s="1264"/>
      <c r="AG210" s="1265">
        <f t="shared" si="140"/>
        <v>2</v>
      </c>
      <c r="AH210" s="1266">
        <f t="shared" si="141"/>
        <v>0</v>
      </c>
      <c r="AI210" s="1267">
        <f t="shared" si="142"/>
        <v>0</v>
      </c>
      <c r="AJ210" s="1268">
        <f t="shared" si="133"/>
        <v>0</v>
      </c>
      <c r="AK210" s="1269"/>
      <c r="AL210" s="1270"/>
      <c r="AM210" s="1270"/>
      <c r="AN210" s="1270"/>
      <c r="AO210" s="1270"/>
      <c r="AP210" s="1271">
        <f t="shared" si="100"/>
        <v>0</v>
      </c>
      <c r="AQ210" s="1272"/>
    </row>
    <row r="211" spans="1:43" ht="21" customHeight="1">
      <c r="A211" s="1273" t="s">
        <v>770</v>
      </c>
      <c r="B211" s="1274" t="s">
        <v>109</v>
      </c>
      <c r="C211" s="1157" t="s">
        <v>771</v>
      </c>
      <c r="D211" s="1018">
        <v>3.5</v>
      </c>
      <c r="E211" s="1019"/>
      <c r="F211" s="729"/>
      <c r="G211" s="728">
        <f t="shared" si="101"/>
        <v>0</v>
      </c>
      <c r="H211" s="49"/>
      <c r="I211" s="724">
        <f t="shared" si="137"/>
        <v>0</v>
      </c>
      <c r="J211" s="729"/>
      <c r="K211" s="728">
        <f t="shared" si="138"/>
        <v>0</v>
      </c>
      <c r="L211" s="49"/>
      <c r="M211" s="724">
        <f t="shared" si="139"/>
        <v>0</v>
      </c>
      <c r="N211" s="729"/>
      <c r="O211" s="728">
        <f t="shared" si="126"/>
        <v>0</v>
      </c>
      <c r="P211" s="727"/>
      <c r="Q211" s="724">
        <f t="shared" si="118"/>
        <v>0</v>
      </c>
      <c r="R211" s="49"/>
      <c r="S211" s="724">
        <f t="shared" si="131"/>
        <v>0</v>
      </c>
      <c r="T211" s="49"/>
      <c r="U211" s="724">
        <f t="shared" si="120"/>
        <v>0</v>
      </c>
      <c r="V211" s="729"/>
      <c r="W211" s="728">
        <f t="shared" si="121"/>
        <v>0</v>
      </c>
      <c r="X211" s="49"/>
      <c r="Y211" s="724">
        <f t="shared" si="122"/>
        <v>0</v>
      </c>
      <c r="Z211" s="729"/>
      <c r="AA211" s="728">
        <f t="shared" si="123"/>
        <v>0</v>
      </c>
      <c r="AB211" s="49"/>
      <c r="AC211" s="724">
        <f t="shared" si="124"/>
        <v>0</v>
      </c>
      <c r="AD211" s="730">
        <f>'[1]Commande Alimentaire'!E47</f>
        <v>2.55</v>
      </c>
      <c r="AE211" s="731"/>
      <c r="AF211" s="1121">
        <v>0.055</v>
      </c>
      <c r="AG211" s="1122">
        <f t="shared" si="140"/>
        <v>0.9500000000000002</v>
      </c>
      <c r="AH211" s="1123">
        <f t="shared" si="141"/>
        <v>0</v>
      </c>
      <c r="AI211" s="1124">
        <f t="shared" si="142"/>
        <v>0</v>
      </c>
      <c r="AJ211" s="1125">
        <f t="shared" si="133"/>
        <v>0</v>
      </c>
      <c r="AK211" s="1126">
        <v>0</v>
      </c>
      <c r="AL211" s="1127"/>
      <c r="AM211" s="1127"/>
      <c r="AN211" s="1127"/>
      <c r="AO211" s="1127"/>
      <c r="AP211" s="1128">
        <f t="shared" si="100"/>
        <v>0</v>
      </c>
      <c r="AQ211" s="1129"/>
    </row>
    <row r="212" spans="1:43" ht="20.25">
      <c r="A212" s="1273"/>
      <c r="B212" s="1274"/>
      <c r="C212" s="1159" t="s">
        <v>110</v>
      </c>
      <c r="D212" s="999">
        <v>3.8</v>
      </c>
      <c r="E212" s="1000"/>
      <c r="F212" s="659"/>
      <c r="G212" s="658">
        <f t="shared" si="101"/>
        <v>0</v>
      </c>
      <c r="H212" s="68">
        <v>1</v>
      </c>
      <c r="I212" s="654">
        <f t="shared" si="137"/>
        <v>3.8</v>
      </c>
      <c r="J212" s="659">
        <v>2</v>
      </c>
      <c r="K212" s="658">
        <f t="shared" si="138"/>
        <v>7.6</v>
      </c>
      <c r="L212" s="68"/>
      <c r="M212" s="654">
        <f t="shared" si="139"/>
        <v>0</v>
      </c>
      <c r="N212" s="659">
        <v>1</v>
      </c>
      <c r="O212" s="658">
        <f t="shared" si="126"/>
        <v>3.8</v>
      </c>
      <c r="P212" s="657"/>
      <c r="Q212" s="654">
        <f t="shared" si="118"/>
        <v>0</v>
      </c>
      <c r="R212" s="68"/>
      <c r="S212" s="654">
        <f t="shared" si="131"/>
        <v>0</v>
      </c>
      <c r="T212" s="68"/>
      <c r="U212" s="654">
        <f t="shared" si="120"/>
        <v>0</v>
      </c>
      <c r="V212" s="659"/>
      <c r="W212" s="658">
        <f t="shared" si="121"/>
        <v>0</v>
      </c>
      <c r="X212" s="68"/>
      <c r="Y212" s="654">
        <f t="shared" si="122"/>
        <v>0</v>
      </c>
      <c r="Z212" s="659"/>
      <c r="AA212" s="658">
        <f t="shared" si="123"/>
        <v>0</v>
      </c>
      <c r="AB212" s="68"/>
      <c r="AC212" s="654">
        <f t="shared" si="124"/>
        <v>0</v>
      </c>
      <c r="AD212" s="660">
        <v>2.8</v>
      </c>
      <c r="AE212" s="661"/>
      <c r="AF212" s="1121"/>
      <c r="AG212" s="662">
        <f t="shared" si="140"/>
        <v>1</v>
      </c>
      <c r="AH212" s="1003">
        <f t="shared" si="141"/>
        <v>4</v>
      </c>
      <c r="AI212" s="1004">
        <f t="shared" si="142"/>
        <v>15.2</v>
      </c>
      <c r="AJ212" s="1005">
        <f t="shared" si="133"/>
        <v>4</v>
      </c>
      <c r="AK212" s="1006">
        <v>9</v>
      </c>
      <c r="AL212" s="1007"/>
      <c r="AM212" s="1007"/>
      <c r="AN212" s="1007"/>
      <c r="AO212" s="1007"/>
      <c r="AP212" s="1008">
        <f t="shared" si="100"/>
        <v>5</v>
      </c>
      <c r="AQ212" s="1009"/>
    </row>
    <row r="213" spans="1:43" ht="20.25">
      <c r="A213" s="1273"/>
      <c r="B213" s="1274"/>
      <c r="C213" s="1159" t="s">
        <v>772</v>
      </c>
      <c r="D213" s="999">
        <v>20</v>
      </c>
      <c r="E213" s="1000"/>
      <c r="F213" s="659"/>
      <c r="G213" s="658">
        <f t="shared" si="101"/>
        <v>0</v>
      </c>
      <c r="H213" s="68"/>
      <c r="I213" s="654">
        <f t="shared" si="137"/>
        <v>0</v>
      </c>
      <c r="J213" s="659"/>
      <c r="K213" s="658">
        <f t="shared" si="138"/>
        <v>0</v>
      </c>
      <c r="L213" s="68"/>
      <c r="M213" s="654">
        <f t="shared" si="139"/>
        <v>0</v>
      </c>
      <c r="N213" s="659"/>
      <c r="O213" s="658">
        <f t="shared" si="126"/>
        <v>0</v>
      </c>
      <c r="P213" s="657"/>
      <c r="Q213" s="654">
        <f t="shared" si="118"/>
        <v>0</v>
      </c>
      <c r="R213" s="68"/>
      <c r="S213" s="654">
        <f t="shared" si="131"/>
        <v>0</v>
      </c>
      <c r="T213" s="68"/>
      <c r="U213" s="654">
        <f t="shared" si="120"/>
        <v>0</v>
      </c>
      <c r="V213" s="659"/>
      <c r="W213" s="658">
        <f t="shared" si="121"/>
        <v>0</v>
      </c>
      <c r="X213" s="68"/>
      <c r="Y213" s="654">
        <f t="shared" si="122"/>
        <v>0</v>
      </c>
      <c r="Z213" s="659"/>
      <c r="AA213" s="658">
        <f t="shared" si="123"/>
        <v>0</v>
      </c>
      <c r="AB213" s="68"/>
      <c r="AC213" s="654">
        <f t="shared" si="124"/>
        <v>0</v>
      </c>
      <c r="AD213" s="660">
        <f>'[1]Commande Alimentaire'!E46</f>
        <v>17</v>
      </c>
      <c r="AE213" s="661"/>
      <c r="AF213" s="1121"/>
      <c r="AG213" s="662">
        <v>3</v>
      </c>
      <c r="AH213" s="1003">
        <f t="shared" si="141"/>
        <v>0</v>
      </c>
      <c r="AI213" s="1004">
        <f t="shared" si="142"/>
        <v>0</v>
      </c>
      <c r="AJ213" s="1005">
        <f t="shared" si="133"/>
        <v>0</v>
      </c>
      <c r="AK213" s="1006">
        <v>0</v>
      </c>
      <c r="AL213" s="1007"/>
      <c r="AM213" s="1007"/>
      <c r="AN213" s="1007"/>
      <c r="AO213" s="1007"/>
      <c r="AP213" s="1008">
        <f t="shared" si="100"/>
        <v>0</v>
      </c>
      <c r="AQ213" s="1009"/>
    </row>
    <row r="214" spans="1:43" ht="21">
      <c r="A214" s="1273"/>
      <c r="B214" s="1274"/>
      <c r="C214" s="1162" t="s">
        <v>66</v>
      </c>
      <c r="D214" s="1011">
        <v>4</v>
      </c>
      <c r="E214" s="1012"/>
      <c r="F214" s="706"/>
      <c r="G214" s="705">
        <f t="shared" si="101"/>
        <v>0</v>
      </c>
      <c r="H214" s="703"/>
      <c r="I214" s="700">
        <f t="shared" si="137"/>
        <v>0</v>
      </c>
      <c r="J214" s="706"/>
      <c r="K214" s="705">
        <f t="shared" si="138"/>
        <v>0</v>
      </c>
      <c r="L214" s="703"/>
      <c r="M214" s="700">
        <f t="shared" si="139"/>
        <v>0</v>
      </c>
      <c r="N214" s="706"/>
      <c r="O214" s="705">
        <f t="shared" si="126"/>
        <v>0</v>
      </c>
      <c r="P214" s="704"/>
      <c r="Q214" s="700">
        <f t="shared" si="118"/>
        <v>0</v>
      </c>
      <c r="R214" s="703"/>
      <c r="S214" s="700">
        <f t="shared" si="131"/>
        <v>0</v>
      </c>
      <c r="T214" s="703"/>
      <c r="U214" s="700">
        <f t="shared" si="120"/>
        <v>0</v>
      </c>
      <c r="V214" s="706"/>
      <c r="W214" s="705">
        <f t="shared" si="121"/>
        <v>0</v>
      </c>
      <c r="X214" s="703"/>
      <c r="Y214" s="700">
        <f t="shared" si="122"/>
        <v>0</v>
      </c>
      <c r="Z214" s="706"/>
      <c r="AA214" s="705">
        <f t="shared" si="123"/>
        <v>0</v>
      </c>
      <c r="AB214" s="703"/>
      <c r="AC214" s="700">
        <f t="shared" si="124"/>
        <v>0</v>
      </c>
      <c r="AD214" s="707">
        <f>'[1]Commande Alimentaire'!F45</f>
        <v>4</v>
      </c>
      <c r="AE214" s="708"/>
      <c r="AF214" s="1121"/>
      <c r="AG214" s="709">
        <f aca="true" t="shared" si="143" ref="AG214:AG237">D214-AD214</f>
        <v>0</v>
      </c>
      <c r="AH214" s="1024">
        <f t="shared" si="141"/>
        <v>0</v>
      </c>
      <c r="AI214" s="1004">
        <f t="shared" si="142"/>
        <v>0</v>
      </c>
      <c r="AJ214" s="1005">
        <f t="shared" si="133"/>
        <v>0</v>
      </c>
      <c r="AK214" s="1006">
        <v>0</v>
      </c>
      <c r="AL214" s="1007"/>
      <c r="AM214" s="1007"/>
      <c r="AN214" s="1007"/>
      <c r="AO214" s="1007"/>
      <c r="AP214" s="1008">
        <f t="shared" si="100"/>
        <v>0</v>
      </c>
      <c r="AQ214" s="1009"/>
    </row>
    <row r="215" spans="1:43" ht="20.25">
      <c r="A215" s="1273"/>
      <c r="B215" s="1275" t="s">
        <v>773</v>
      </c>
      <c r="C215" s="1156" t="s">
        <v>774</v>
      </c>
      <c r="D215" s="986">
        <v>8</v>
      </c>
      <c r="E215" s="987"/>
      <c r="F215" s="637"/>
      <c r="G215" s="636">
        <f t="shared" si="101"/>
        <v>0</v>
      </c>
      <c r="H215" s="634"/>
      <c r="I215" s="631">
        <f t="shared" si="137"/>
        <v>0</v>
      </c>
      <c r="J215" s="637"/>
      <c r="K215" s="636">
        <f t="shared" si="138"/>
        <v>0</v>
      </c>
      <c r="L215" s="634"/>
      <c r="M215" s="631">
        <f t="shared" si="139"/>
        <v>0</v>
      </c>
      <c r="N215" s="637"/>
      <c r="O215" s="636">
        <f t="shared" si="126"/>
        <v>0</v>
      </c>
      <c r="P215" s="635"/>
      <c r="Q215" s="631">
        <f t="shared" si="118"/>
        <v>0</v>
      </c>
      <c r="R215" s="634"/>
      <c r="S215" s="631">
        <f t="shared" si="131"/>
        <v>0</v>
      </c>
      <c r="T215" s="634"/>
      <c r="U215" s="631">
        <f t="shared" si="120"/>
        <v>0</v>
      </c>
      <c r="V215" s="637"/>
      <c r="W215" s="636">
        <f t="shared" si="121"/>
        <v>0</v>
      </c>
      <c r="X215" s="634"/>
      <c r="Y215" s="631">
        <f t="shared" si="122"/>
        <v>0</v>
      </c>
      <c r="Z215" s="637"/>
      <c r="AA215" s="636">
        <f t="shared" si="123"/>
        <v>0</v>
      </c>
      <c r="AB215" s="634"/>
      <c r="AC215" s="631">
        <f t="shared" si="124"/>
        <v>0</v>
      </c>
      <c r="AD215" s="638">
        <f>'[1]Commande Alimentaire'!E50</f>
        <v>6.02</v>
      </c>
      <c r="AE215" s="639"/>
      <c r="AF215" s="1121"/>
      <c r="AG215" s="641">
        <f t="shared" si="143"/>
        <v>1.9800000000000004</v>
      </c>
      <c r="AH215" s="1025">
        <f t="shared" si="141"/>
        <v>0</v>
      </c>
      <c r="AI215" s="1004">
        <f t="shared" si="142"/>
        <v>0</v>
      </c>
      <c r="AJ215" s="1005">
        <f t="shared" si="133"/>
        <v>0</v>
      </c>
      <c r="AK215" s="1006">
        <v>0</v>
      </c>
      <c r="AL215" s="1007"/>
      <c r="AM215" s="1007"/>
      <c r="AN215" s="1007"/>
      <c r="AO215" s="1007"/>
      <c r="AP215" s="1008">
        <f t="shared" si="100"/>
        <v>0</v>
      </c>
      <c r="AQ215" s="1009"/>
    </row>
    <row r="216" spans="1:43" ht="20.25">
      <c r="A216" s="1273"/>
      <c r="B216" s="1275"/>
      <c r="C216" s="1159" t="s">
        <v>775</v>
      </c>
      <c r="D216" s="999">
        <v>8</v>
      </c>
      <c r="E216" s="1000"/>
      <c r="F216" s="659"/>
      <c r="G216" s="658">
        <f t="shared" si="101"/>
        <v>0</v>
      </c>
      <c r="H216" s="68"/>
      <c r="I216" s="654">
        <f t="shared" si="137"/>
        <v>0</v>
      </c>
      <c r="J216" s="659"/>
      <c r="K216" s="658">
        <f t="shared" si="138"/>
        <v>0</v>
      </c>
      <c r="L216" s="68"/>
      <c r="M216" s="654">
        <f t="shared" si="139"/>
        <v>0</v>
      </c>
      <c r="N216" s="659"/>
      <c r="O216" s="658">
        <f t="shared" si="126"/>
        <v>0</v>
      </c>
      <c r="P216" s="657"/>
      <c r="Q216" s="654">
        <f t="shared" si="118"/>
        <v>0</v>
      </c>
      <c r="R216" s="68"/>
      <c r="S216" s="654">
        <f t="shared" si="131"/>
        <v>0</v>
      </c>
      <c r="T216" s="68"/>
      <c r="U216" s="654">
        <f t="shared" si="120"/>
        <v>0</v>
      </c>
      <c r="V216" s="659"/>
      <c r="W216" s="658">
        <f t="shared" si="121"/>
        <v>0</v>
      </c>
      <c r="X216" s="68"/>
      <c r="Y216" s="654">
        <f t="shared" si="122"/>
        <v>0</v>
      </c>
      <c r="Z216" s="659"/>
      <c r="AA216" s="658">
        <f t="shared" si="123"/>
        <v>0</v>
      </c>
      <c r="AB216" s="68"/>
      <c r="AC216" s="654">
        <f t="shared" si="124"/>
        <v>0</v>
      </c>
      <c r="AD216" s="660">
        <f>'[1]Commande Alimentaire'!E49</f>
        <v>6.45</v>
      </c>
      <c r="AE216" s="661"/>
      <c r="AF216" s="1121"/>
      <c r="AG216" s="662">
        <f t="shared" si="143"/>
        <v>1.5499999999999998</v>
      </c>
      <c r="AH216" s="1003">
        <f t="shared" si="141"/>
        <v>0</v>
      </c>
      <c r="AI216" s="1004">
        <f t="shared" si="142"/>
        <v>0</v>
      </c>
      <c r="AJ216" s="1005">
        <f t="shared" si="133"/>
        <v>0</v>
      </c>
      <c r="AK216" s="1006">
        <v>0</v>
      </c>
      <c r="AL216" s="1007"/>
      <c r="AM216" s="1007"/>
      <c r="AN216" s="1007"/>
      <c r="AO216" s="1007"/>
      <c r="AP216" s="1008">
        <f t="shared" si="100"/>
        <v>0</v>
      </c>
      <c r="AQ216" s="1009"/>
    </row>
    <row r="217" spans="1:44" ht="21">
      <c r="A217" s="1273"/>
      <c r="B217" s="1275"/>
      <c r="C217" s="1162" t="s">
        <v>776</v>
      </c>
      <c r="D217" s="1011">
        <v>17</v>
      </c>
      <c r="E217" s="1012"/>
      <c r="F217" s="706"/>
      <c r="G217" s="705">
        <f t="shared" si="101"/>
        <v>0</v>
      </c>
      <c r="H217" s="703"/>
      <c r="I217" s="700">
        <f t="shared" si="137"/>
        <v>0</v>
      </c>
      <c r="J217" s="706"/>
      <c r="K217" s="705">
        <f t="shared" si="138"/>
        <v>0</v>
      </c>
      <c r="L217" s="703"/>
      <c r="M217" s="700">
        <f t="shared" si="139"/>
        <v>0</v>
      </c>
      <c r="N217" s="706"/>
      <c r="O217" s="705">
        <f t="shared" si="126"/>
        <v>0</v>
      </c>
      <c r="P217" s="704"/>
      <c r="Q217" s="700">
        <f t="shared" si="118"/>
        <v>0</v>
      </c>
      <c r="R217" s="703"/>
      <c r="S217" s="700">
        <f t="shared" si="131"/>
        <v>0</v>
      </c>
      <c r="T217" s="703"/>
      <c r="U217" s="700">
        <f t="shared" si="120"/>
        <v>0</v>
      </c>
      <c r="V217" s="706"/>
      <c r="W217" s="705">
        <f t="shared" si="121"/>
        <v>0</v>
      </c>
      <c r="X217" s="703"/>
      <c r="Y217" s="700">
        <f t="shared" si="122"/>
        <v>0</v>
      </c>
      <c r="Z217" s="706"/>
      <c r="AA217" s="705">
        <f t="shared" si="123"/>
        <v>0</v>
      </c>
      <c r="AB217" s="703"/>
      <c r="AC217" s="700">
        <f t="shared" si="124"/>
        <v>0</v>
      </c>
      <c r="AD217" s="707">
        <f>'[1]Commande Alimentaire'!E51</f>
        <v>13.76</v>
      </c>
      <c r="AE217" s="708"/>
      <c r="AF217" s="1121"/>
      <c r="AG217" s="709">
        <f t="shared" si="143"/>
        <v>3.24</v>
      </c>
      <c r="AH217" s="1024">
        <f t="shared" si="141"/>
        <v>0</v>
      </c>
      <c r="AI217" s="1004">
        <f t="shared" si="142"/>
        <v>0</v>
      </c>
      <c r="AJ217" s="1005">
        <f t="shared" si="133"/>
        <v>0</v>
      </c>
      <c r="AK217" s="1006">
        <v>2</v>
      </c>
      <c r="AL217" s="1007"/>
      <c r="AM217" s="1007"/>
      <c r="AN217" s="1007"/>
      <c r="AO217" s="1007"/>
      <c r="AP217" s="1008">
        <f t="shared" si="100"/>
        <v>2</v>
      </c>
      <c r="AQ217" s="1009"/>
      <c r="AR217" t="s">
        <v>777</v>
      </c>
    </row>
    <row r="218" spans="1:43" ht="24.75">
      <c r="A218" s="1276" t="s">
        <v>778</v>
      </c>
      <c r="B218" s="1275" t="s">
        <v>779</v>
      </c>
      <c r="C218" s="432" t="s">
        <v>779</v>
      </c>
      <c r="D218" s="1136">
        <v>10</v>
      </c>
      <c r="E218" s="1137"/>
      <c r="F218" s="884"/>
      <c r="G218" s="883">
        <f>F218*D218</f>
        <v>0</v>
      </c>
      <c r="H218" s="881"/>
      <c r="I218" s="878">
        <f t="shared" si="137"/>
        <v>0</v>
      </c>
      <c r="J218" s="884"/>
      <c r="K218" s="883">
        <f t="shared" si="138"/>
        <v>0</v>
      </c>
      <c r="L218" s="881"/>
      <c r="M218" s="878">
        <f t="shared" si="139"/>
        <v>0</v>
      </c>
      <c r="N218" s="884"/>
      <c r="O218" s="883">
        <f t="shared" si="126"/>
        <v>0</v>
      </c>
      <c r="P218" s="882"/>
      <c r="Q218" s="878">
        <f t="shared" si="118"/>
        <v>0</v>
      </c>
      <c r="R218" s="881"/>
      <c r="S218" s="878">
        <f t="shared" si="131"/>
        <v>0</v>
      </c>
      <c r="T218" s="881"/>
      <c r="U218" s="878">
        <f t="shared" si="120"/>
        <v>0</v>
      </c>
      <c r="V218" s="884"/>
      <c r="W218" s="883">
        <f t="shared" si="121"/>
        <v>0</v>
      </c>
      <c r="X218" s="881"/>
      <c r="Y218" s="878">
        <f t="shared" si="122"/>
        <v>0</v>
      </c>
      <c r="Z218" s="884"/>
      <c r="AA218" s="883">
        <f t="shared" si="123"/>
        <v>0</v>
      </c>
      <c r="AB218" s="881"/>
      <c r="AC218" s="878">
        <f t="shared" si="124"/>
        <v>0</v>
      </c>
      <c r="AD218" s="885">
        <f>'[1]Commande Souvenirs, librairie'!F137</f>
        <v>1.5</v>
      </c>
      <c r="AE218" s="886"/>
      <c r="AF218" s="1277"/>
      <c r="AG218" s="887">
        <f t="shared" si="143"/>
        <v>8.5</v>
      </c>
      <c r="AH218" s="1020">
        <f t="shared" si="141"/>
        <v>0</v>
      </c>
      <c r="AI218" s="1004">
        <f t="shared" si="142"/>
        <v>0</v>
      </c>
      <c r="AJ218" s="1005">
        <f t="shared" si="133"/>
        <v>0</v>
      </c>
      <c r="AK218" s="1006">
        <v>22</v>
      </c>
      <c r="AL218" s="1007"/>
      <c r="AM218" s="1007"/>
      <c r="AN218" s="1007"/>
      <c r="AO218" s="1007"/>
      <c r="AP218" s="1008">
        <f t="shared" si="100"/>
        <v>22</v>
      </c>
      <c r="AQ218" s="1009"/>
    </row>
    <row r="219" spans="1:43" ht="21" customHeight="1">
      <c r="A219" s="1278" t="s">
        <v>780</v>
      </c>
      <c r="B219" s="1279" t="s">
        <v>781</v>
      </c>
      <c r="C219" s="1280" t="s">
        <v>782</v>
      </c>
      <c r="D219" s="1143">
        <v>1</v>
      </c>
      <c r="E219" s="1144"/>
      <c r="F219" s="1145"/>
      <c r="G219" s="1146">
        <f aca="true" t="shared" si="144" ref="G219:G252">D219*F219</f>
        <v>0</v>
      </c>
      <c r="H219" s="1147">
        <v>1</v>
      </c>
      <c r="I219" s="1148">
        <f t="shared" si="137"/>
        <v>1</v>
      </c>
      <c r="J219" s="1145"/>
      <c r="K219" s="1146">
        <f t="shared" si="138"/>
        <v>0</v>
      </c>
      <c r="L219" s="1147"/>
      <c r="M219" s="1148">
        <f t="shared" si="139"/>
        <v>0</v>
      </c>
      <c r="N219" s="1145">
        <v>1</v>
      </c>
      <c r="O219" s="1146">
        <f t="shared" si="126"/>
        <v>1</v>
      </c>
      <c r="P219" s="1149"/>
      <c r="Q219" s="1148">
        <f t="shared" si="118"/>
        <v>0</v>
      </c>
      <c r="R219" s="1147"/>
      <c r="S219" s="1148">
        <f t="shared" si="131"/>
        <v>0</v>
      </c>
      <c r="T219" s="1281"/>
      <c r="U219" s="1282">
        <f t="shared" si="120"/>
        <v>0</v>
      </c>
      <c r="V219" s="1145"/>
      <c r="W219" s="1146">
        <f t="shared" si="121"/>
        <v>0</v>
      </c>
      <c r="X219" s="1147"/>
      <c r="Y219" s="1148">
        <f t="shared" si="122"/>
        <v>0</v>
      </c>
      <c r="Z219" s="1145"/>
      <c r="AA219" s="1146">
        <f t="shared" si="123"/>
        <v>0</v>
      </c>
      <c r="AB219" s="1147"/>
      <c r="AC219" s="1148">
        <f t="shared" si="124"/>
        <v>0</v>
      </c>
      <c r="AD219" s="885">
        <f>'[1]Commande Souvenirs, librairie'!F138</f>
        <v>0.15</v>
      </c>
      <c r="AE219" s="886"/>
      <c r="AF219" s="1283">
        <v>0.2</v>
      </c>
      <c r="AG219" s="887">
        <f t="shared" si="143"/>
        <v>0.85</v>
      </c>
      <c r="AH219" s="1036">
        <f t="shared" si="141"/>
        <v>1.7</v>
      </c>
      <c r="AI219" s="1004">
        <f t="shared" si="142"/>
        <v>2</v>
      </c>
      <c r="AJ219" s="1005">
        <f t="shared" si="133"/>
        <v>2</v>
      </c>
      <c r="AK219" s="1006">
        <f>26+16</f>
        <v>42</v>
      </c>
      <c r="AL219" s="1007"/>
      <c r="AM219" s="1007"/>
      <c r="AN219" s="1007"/>
      <c r="AO219" s="1007"/>
      <c r="AP219" s="1008">
        <f t="shared" si="100"/>
        <v>40</v>
      </c>
      <c r="AQ219" s="1009"/>
    </row>
    <row r="220" spans="1:43" ht="21">
      <c r="A220" s="1278"/>
      <c r="B220" s="1279"/>
      <c r="C220" s="1159" t="s">
        <v>469</v>
      </c>
      <c r="D220" s="999">
        <v>1</v>
      </c>
      <c r="E220" s="1000"/>
      <c r="F220" s="659"/>
      <c r="G220" s="658">
        <f t="shared" si="144"/>
        <v>0</v>
      </c>
      <c r="H220" s="68">
        <v>1</v>
      </c>
      <c r="I220" s="654">
        <f t="shared" si="137"/>
        <v>1</v>
      </c>
      <c r="J220" s="659"/>
      <c r="K220" s="658">
        <f t="shared" si="138"/>
        <v>0</v>
      </c>
      <c r="L220" s="68"/>
      <c r="M220" s="654">
        <f t="shared" si="139"/>
        <v>0</v>
      </c>
      <c r="N220" s="659">
        <v>1</v>
      </c>
      <c r="O220" s="658">
        <f t="shared" si="126"/>
        <v>1</v>
      </c>
      <c r="P220" s="657"/>
      <c r="Q220" s="654">
        <f t="shared" si="118"/>
        <v>0</v>
      </c>
      <c r="R220" s="68"/>
      <c r="S220" s="654">
        <f t="shared" si="131"/>
        <v>0</v>
      </c>
      <c r="T220" s="171"/>
      <c r="U220" s="1284">
        <f t="shared" si="120"/>
        <v>0</v>
      </c>
      <c r="V220" s="659"/>
      <c r="W220" s="658">
        <f t="shared" si="121"/>
        <v>0</v>
      </c>
      <c r="X220" s="68"/>
      <c r="Y220" s="654">
        <f t="shared" si="122"/>
        <v>0</v>
      </c>
      <c r="Z220" s="659"/>
      <c r="AA220" s="658">
        <f t="shared" si="123"/>
        <v>0</v>
      </c>
      <c r="AB220" s="68"/>
      <c r="AC220" s="654">
        <f t="shared" si="124"/>
        <v>0</v>
      </c>
      <c r="AD220" s="779">
        <f>'[1]Commande Souvenirs, librairie'!F139</f>
        <v>0.15</v>
      </c>
      <c r="AE220" s="796"/>
      <c r="AF220" s="1283"/>
      <c r="AG220" s="732">
        <f t="shared" si="143"/>
        <v>0.85</v>
      </c>
      <c r="AH220" s="1036">
        <f t="shared" si="141"/>
        <v>1.7</v>
      </c>
      <c r="AI220" s="1004">
        <f t="shared" si="142"/>
        <v>2</v>
      </c>
      <c r="AJ220" s="1005">
        <f t="shared" si="133"/>
        <v>2</v>
      </c>
      <c r="AK220" s="1006">
        <f>150+6</f>
        <v>156</v>
      </c>
      <c r="AL220" s="1007"/>
      <c r="AM220" s="1007"/>
      <c r="AN220" s="1007"/>
      <c r="AO220" s="1007"/>
      <c r="AP220" s="1008">
        <f t="shared" si="100"/>
        <v>154</v>
      </c>
      <c r="AQ220" s="1009"/>
    </row>
    <row r="221" spans="1:43" ht="21">
      <c r="A221" s="1278"/>
      <c r="B221" s="1279"/>
      <c r="C221" s="1159" t="s">
        <v>783</v>
      </c>
      <c r="D221" s="999">
        <v>1</v>
      </c>
      <c r="E221" s="1000"/>
      <c r="F221" s="659"/>
      <c r="G221" s="658">
        <f t="shared" si="144"/>
        <v>0</v>
      </c>
      <c r="H221" s="68">
        <v>1</v>
      </c>
      <c r="I221" s="654">
        <f t="shared" si="137"/>
        <v>1</v>
      </c>
      <c r="J221" s="659"/>
      <c r="K221" s="658">
        <f t="shared" si="138"/>
        <v>0</v>
      </c>
      <c r="L221" s="68"/>
      <c r="M221" s="654">
        <f t="shared" si="139"/>
        <v>0</v>
      </c>
      <c r="N221" s="659"/>
      <c r="O221" s="658">
        <f t="shared" si="126"/>
        <v>0</v>
      </c>
      <c r="P221" s="657"/>
      <c r="Q221" s="654">
        <f t="shared" si="118"/>
        <v>0</v>
      </c>
      <c r="R221" s="68"/>
      <c r="S221" s="654">
        <f t="shared" si="131"/>
        <v>0</v>
      </c>
      <c r="T221" s="171"/>
      <c r="U221" s="1284">
        <f t="shared" si="120"/>
        <v>0</v>
      </c>
      <c r="V221" s="659"/>
      <c r="W221" s="658">
        <f t="shared" si="121"/>
        <v>0</v>
      </c>
      <c r="X221" s="68"/>
      <c r="Y221" s="654">
        <f t="shared" si="122"/>
        <v>0</v>
      </c>
      <c r="Z221" s="659"/>
      <c r="AA221" s="658">
        <f t="shared" si="123"/>
        <v>0</v>
      </c>
      <c r="AB221" s="68"/>
      <c r="AC221" s="654">
        <f t="shared" si="124"/>
        <v>0</v>
      </c>
      <c r="AD221" s="779">
        <v>0.15</v>
      </c>
      <c r="AE221" s="796"/>
      <c r="AF221" s="1283"/>
      <c r="AG221" s="732">
        <f t="shared" si="143"/>
        <v>0.85</v>
      </c>
      <c r="AH221" s="1036">
        <f t="shared" si="141"/>
        <v>0.85</v>
      </c>
      <c r="AI221" s="1004">
        <f t="shared" si="142"/>
        <v>1</v>
      </c>
      <c r="AJ221" s="1005">
        <f t="shared" si="133"/>
        <v>1</v>
      </c>
      <c r="AK221" s="1006">
        <f>139+33</f>
        <v>172</v>
      </c>
      <c r="AL221" s="1007"/>
      <c r="AM221" s="1007"/>
      <c r="AN221" s="1007"/>
      <c r="AO221" s="1007"/>
      <c r="AP221" s="1008">
        <f t="shared" si="100"/>
        <v>171</v>
      </c>
      <c r="AQ221" s="1009"/>
    </row>
    <row r="222" spans="1:43" ht="21">
      <c r="A222" s="1278"/>
      <c r="B222" s="1279"/>
      <c r="C222" s="1159" t="s">
        <v>472</v>
      </c>
      <c r="D222" s="999">
        <v>1</v>
      </c>
      <c r="E222" s="1000"/>
      <c r="F222" s="659"/>
      <c r="G222" s="658">
        <f t="shared" si="144"/>
        <v>0</v>
      </c>
      <c r="H222" s="68">
        <v>1</v>
      </c>
      <c r="I222" s="654">
        <f t="shared" si="137"/>
        <v>1</v>
      </c>
      <c r="J222" s="659"/>
      <c r="K222" s="658">
        <f t="shared" si="138"/>
        <v>0</v>
      </c>
      <c r="L222" s="68"/>
      <c r="M222" s="654">
        <f t="shared" si="139"/>
        <v>0</v>
      </c>
      <c r="N222" s="659">
        <v>1</v>
      </c>
      <c r="O222" s="658">
        <f t="shared" si="126"/>
        <v>1</v>
      </c>
      <c r="P222" s="657"/>
      <c r="Q222" s="654">
        <f t="shared" si="118"/>
        <v>0</v>
      </c>
      <c r="R222" s="68"/>
      <c r="S222" s="654">
        <f t="shared" si="131"/>
        <v>0</v>
      </c>
      <c r="T222" s="171"/>
      <c r="U222" s="1284">
        <f t="shared" si="120"/>
        <v>0</v>
      </c>
      <c r="V222" s="659"/>
      <c r="W222" s="658">
        <f t="shared" si="121"/>
        <v>0</v>
      </c>
      <c r="X222" s="68"/>
      <c r="Y222" s="654">
        <f t="shared" si="122"/>
        <v>0</v>
      </c>
      <c r="Z222" s="659"/>
      <c r="AA222" s="658">
        <f t="shared" si="123"/>
        <v>0</v>
      </c>
      <c r="AB222" s="68"/>
      <c r="AC222" s="654">
        <f t="shared" si="124"/>
        <v>0</v>
      </c>
      <c r="AD222" s="779">
        <v>0.15</v>
      </c>
      <c r="AE222" s="796"/>
      <c r="AF222" s="1283"/>
      <c r="AG222" s="732">
        <f t="shared" si="143"/>
        <v>0.85</v>
      </c>
      <c r="AH222" s="1036">
        <f t="shared" si="141"/>
        <v>1.7</v>
      </c>
      <c r="AI222" s="1004">
        <f t="shared" si="142"/>
        <v>2</v>
      </c>
      <c r="AJ222" s="1005">
        <f t="shared" si="133"/>
        <v>2</v>
      </c>
      <c r="AK222" s="1006">
        <f>157+40</f>
        <v>197</v>
      </c>
      <c r="AL222" s="1007"/>
      <c r="AM222" s="1007"/>
      <c r="AN222" s="1007"/>
      <c r="AO222" s="1007"/>
      <c r="AP222" s="1008">
        <f t="shared" si="100"/>
        <v>195</v>
      </c>
      <c r="AQ222" s="1009"/>
    </row>
    <row r="223" spans="1:43" ht="21">
      <c r="A223" s="1278"/>
      <c r="B223" s="1279"/>
      <c r="C223" s="1159" t="s">
        <v>473</v>
      </c>
      <c r="D223" s="999">
        <v>1</v>
      </c>
      <c r="E223" s="1000"/>
      <c r="F223" s="659"/>
      <c r="G223" s="658">
        <f t="shared" si="144"/>
        <v>0</v>
      </c>
      <c r="H223" s="68">
        <v>1</v>
      </c>
      <c r="I223" s="654">
        <f t="shared" si="137"/>
        <v>1</v>
      </c>
      <c r="J223" s="659"/>
      <c r="K223" s="658">
        <f t="shared" si="138"/>
        <v>0</v>
      </c>
      <c r="L223" s="68"/>
      <c r="M223" s="654">
        <f t="shared" si="139"/>
        <v>0</v>
      </c>
      <c r="N223" s="659"/>
      <c r="O223" s="658">
        <f t="shared" si="126"/>
        <v>0</v>
      </c>
      <c r="P223" s="657"/>
      <c r="Q223" s="654">
        <f t="shared" si="118"/>
        <v>0</v>
      </c>
      <c r="R223" s="68"/>
      <c r="S223" s="654">
        <f t="shared" si="131"/>
        <v>0</v>
      </c>
      <c r="T223" s="171"/>
      <c r="U223" s="1284">
        <f t="shared" si="120"/>
        <v>0</v>
      </c>
      <c r="V223" s="659"/>
      <c r="W223" s="658">
        <f t="shared" si="121"/>
        <v>0</v>
      </c>
      <c r="X223" s="68"/>
      <c r="Y223" s="654">
        <f t="shared" si="122"/>
        <v>0</v>
      </c>
      <c r="Z223" s="659"/>
      <c r="AA223" s="658">
        <f t="shared" si="123"/>
        <v>0</v>
      </c>
      <c r="AB223" s="68"/>
      <c r="AC223" s="654">
        <f t="shared" si="124"/>
        <v>0</v>
      </c>
      <c r="AD223" s="779">
        <v>0.15</v>
      </c>
      <c r="AE223" s="796"/>
      <c r="AF223" s="1283"/>
      <c r="AG223" s="732">
        <f t="shared" si="143"/>
        <v>0.85</v>
      </c>
      <c r="AH223" s="1036">
        <f t="shared" si="141"/>
        <v>0.85</v>
      </c>
      <c r="AI223" s="1004">
        <f t="shared" si="142"/>
        <v>1</v>
      </c>
      <c r="AJ223" s="1005">
        <f t="shared" si="133"/>
        <v>1</v>
      </c>
      <c r="AK223" s="1006">
        <v>34</v>
      </c>
      <c r="AL223" s="1007"/>
      <c r="AM223" s="1007"/>
      <c r="AN223" s="1007"/>
      <c r="AO223" s="1007"/>
      <c r="AP223" s="1008">
        <f t="shared" si="100"/>
        <v>33</v>
      </c>
      <c r="AQ223" s="1009"/>
    </row>
    <row r="224" spans="1:43" ht="21">
      <c r="A224" s="1278"/>
      <c r="B224" s="1279"/>
      <c r="C224" s="1159" t="s">
        <v>478</v>
      </c>
      <c r="D224" s="999">
        <v>1</v>
      </c>
      <c r="E224" s="1000"/>
      <c r="F224" s="659"/>
      <c r="G224" s="658">
        <f t="shared" si="144"/>
        <v>0</v>
      </c>
      <c r="H224" s="68">
        <v>1</v>
      </c>
      <c r="I224" s="654">
        <f t="shared" si="137"/>
        <v>1</v>
      </c>
      <c r="J224" s="659"/>
      <c r="K224" s="658">
        <f t="shared" si="138"/>
        <v>0</v>
      </c>
      <c r="L224" s="68"/>
      <c r="M224" s="654">
        <f t="shared" si="139"/>
        <v>0</v>
      </c>
      <c r="N224" s="659"/>
      <c r="O224" s="658">
        <f t="shared" si="126"/>
        <v>0</v>
      </c>
      <c r="P224" s="657"/>
      <c r="Q224" s="654">
        <f t="shared" si="118"/>
        <v>0</v>
      </c>
      <c r="R224" s="68"/>
      <c r="S224" s="654">
        <f t="shared" si="131"/>
        <v>0</v>
      </c>
      <c r="T224" s="171"/>
      <c r="U224" s="1284">
        <f t="shared" si="120"/>
        <v>0</v>
      </c>
      <c r="V224" s="659"/>
      <c r="W224" s="658">
        <f t="shared" si="121"/>
        <v>0</v>
      </c>
      <c r="X224" s="68"/>
      <c r="Y224" s="654">
        <f t="shared" si="122"/>
        <v>0</v>
      </c>
      <c r="Z224" s="659"/>
      <c r="AA224" s="658">
        <f t="shared" si="123"/>
        <v>0</v>
      </c>
      <c r="AB224" s="68"/>
      <c r="AC224" s="654">
        <f t="shared" si="124"/>
        <v>0</v>
      </c>
      <c r="AD224" s="779">
        <v>0.15</v>
      </c>
      <c r="AE224" s="796"/>
      <c r="AF224" s="1283"/>
      <c r="AG224" s="732">
        <f t="shared" si="143"/>
        <v>0.85</v>
      </c>
      <c r="AH224" s="1036">
        <f t="shared" si="141"/>
        <v>0.85</v>
      </c>
      <c r="AI224" s="1004">
        <f t="shared" si="142"/>
        <v>1</v>
      </c>
      <c r="AJ224" s="1005">
        <f t="shared" si="133"/>
        <v>1</v>
      </c>
      <c r="AK224" s="1006">
        <f>73+24</f>
        <v>97</v>
      </c>
      <c r="AL224" s="1007"/>
      <c r="AM224" s="1007"/>
      <c r="AN224" s="1007"/>
      <c r="AO224" s="1007"/>
      <c r="AP224" s="1008">
        <f t="shared" si="100"/>
        <v>96</v>
      </c>
      <c r="AQ224" s="1009"/>
    </row>
    <row r="225" spans="1:43" ht="21">
      <c r="A225" s="1278"/>
      <c r="B225" s="1279"/>
      <c r="C225" s="1159" t="s">
        <v>474</v>
      </c>
      <c r="D225" s="999">
        <v>1</v>
      </c>
      <c r="E225" s="1000"/>
      <c r="F225" s="659"/>
      <c r="G225" s="658">
        <f t="shared" si="144"/>
        <v>0</v>
      </c>
      <c r="H225" s="68">
        <v>1</v>
      </c>
      <c r="I225" s="654">
        <f t="shared" si="137"/>
        <v>1</v>
      </c>
      <c r="J225" s="659"/>
      <c r="K225" s="658">
        <f t="shared" si="138"/>
        <v>0</v>
      </c>
      <c r="L225" s="68"/>
      <c r="M225" s="654">
        <f t="shared" si="139"/>
        <v>0</v>
      </c>
      <c r="N225" s="659"/>
      <c r="O225" s="658">
        <f t="shared" si="126"/>
        <v>0</v>
      </c>
      <c r="P225" s="657"/>
      <c r="Q225" s="654">
        <f t="shared" si="118"/>
        <v>0</v>
      </c>
      <c r="R225" s="68"/>
      <c r="S225" s="654">
        <f t="shared" si="131"/>
        <v>0</v>
      </c>
      <c r="T225" s="171"/>
      <c r="U225" s="1284">
        <f t="shared" si="120"/>
        <v>0</v>
      </c>
      <c r="V225" s="659"/>
      <c r="W225" s="658">
        <f t="shared" si="121"/>
        <v>0</v>
      </c>
      <c r="X225" s="68"/>
      <c r="Y225" s="654">
        <f t="shared" si="122"/>
        <v>0</v>
      </c>
      <c r="Z225" s="659"/>
      <c r="AA225" s="658">
        <f t="shared" si="123"/>
        <v>0</v>
      </c>
      <c r="AB225" s="68"/>
      <c r="AC225" s="654">
        <f t="shared" si="124"/>
        <v>0</v>
      </c>
      <c r="AD225" s="779">
        <v>0.15</v>
      </c>
      <c r="AE225" s="796"/>
      <c r="AF225" s="1283"/>
      <c r="AG225" s="732">
        <f t="shared" si="143"/>
        <v>0.85</v>
      </c>
      <c r="AH225" s="1036">
        <f t="shared" si="141"/>
        <v>0.85</v>
      </c>
      <c r="AI225" s="1004">
        <f t="shared" si="142"/>
        <v>1</v>
      </c>
      <c r="AJ225" s="1005">
        <f t="shared" si="133"/>
        <v>1</v>
      </c>
      <c r="AK225" s="1006">
        <f>139+20</f>
        <v>159</v>
      </c>
      <c r="AL225" s="1007"/>
      <c r="AM225" s="1007"/>
      <c r="AN225" s="1007"/>
      <c r="AO225" s="1007"/>
      <c r="AP225" s="1008">
        <f t="shared" si="100"/>
        <v>158</v>
      </c>
      <c r="AQ225" s="1009"/>
    </row>
    <row r="226" spans="1:43" ht="21">
      <c r="A226" s="1278"/>
      <c r="B226" s="1279"/>
      <c r="C226" s="1159" t="s">
        <v>784</v>
      </c>
      <c r="D226" s="999">
        <v>1</v>
      </c>
      <c r="E226" s="1000"/>
      <c r="F226" s="659"/>
      <c r="G226" s="658">
        <f t="shared" si="144"/>
        <v>0</v>
      </c>
      <c r="H226" s="68">
        <v>1</v>
      </c>
      <c r="I226" s="654">
        <f t="shared" si="137"/>
        <v>1</v>
      </c>
      <c r="J226" s="659"/>
      <c r="K226" s="658">
        <f t="shared" si="138"/>
        <v>0</v>
      </c>
      <c r="L226" s="68"/>
      <c r="M226" s="654">
        <f t="shared" si="139"/>
        <v>0</v>
      </c>
      <c r="N226" s="659"/>
      <c r="O226" s="658">
        <f t="shared" si="126"/>
        <v>0</v>
      </c>
      <c r="P226" s="657"/>
      <c r="Q226" s="654">
        <f t="shared" si="118"/>
        <v>0</v>
      </c>
      <c r="R226" s="68"/>
      <c r="S226" s="654">
        <f t="shared" si="131"/>
        <v>0</v>
      </c>
      <c r="T226" s="171"/>
      <c r="U226" s="1284">
        <f t="shared" si="120"/>
        <v>0</v>
      </c>
      <c r="V226" s="659"/>
      <c r="W226" s="658">
        <f t="shared" si="121"/>
        <v>0</v>
      </c>
      <c r="X226" s="68"/>
      <c r="Y226" s="654">
        <f t="shared" si="122"/>
        <v>0</v>
      </c>
      <c r="Z226" s="659"/>
      <c r="AA226" s="658">
        <f t="shared" si="123"/>
        <v>0</v>
      </c>
      <c r="AB226" s="68"/>
      <c r="AC226" s="654">
        <f t="shared" si="124"/>
        <v>0</v>
      </c>
      <c r="AD226" s="779">
        <v>0.15</v>
      </c>
      <c r="AE226" s="796"/>
      <c r="AF226" s="1283"/>
      <c r="AG226" s="732">
        <f t="shared" si="143"/>
        <v>0.85</v>
      </c>
      <c r="AH226" s="1036">
        <f t="shared" si="141"/>
        <v>0.85</v>
      </c>
      <c r="AI226" s="1004">
        <f t="shared" si="142"/>
        <v>1</v>
      </c>
      <c r="AJ226" s="1005">
        <f t="shared" si="133"/>
        <v>1</v>
      </c>
      <c r="AK226" s="1006">
        <f>116+52</f>
        <v>168</v>
      </c>
      <c r="AL226" s="1007"/>
      <c r="AM226" s="1007"/>
      <c r="AN226" s="1007"/>
      <c r="AO226" s="1007"/>
      <c r="AP226" s="1008">
        <f t="shared" si="100"/>
        <v>167</v>
      </c>
      <c r="AQ226" s="1009"/>
    </row>
    <row r="227" spans="1:43" ht="20.25">
      <c r="A227" s="1278"/>
      <c r="B227" s="1279"/>
      <c r="C227" s="1193" t="s">
        <v>785</v>
      </c>
      <c r="D227" s="1140">
        <v>1</v>
      </c>
      <c r="E227" s="1029"/>
      <c r="F227" s="843"/>
      <c r="G227" s="842">
        <f t="shared" si="144"/>
        <v>0</v>
      </c>
      <c r="H227" s="153">
        <v>1</v>
      </c>
      <c r="I227" s="750">
        <f t="shared" si="137"/>
        <v>1</v>
      </c>
      <c r="J227" s="843"/>
      <c r="K227" s="842">
        <f t="shared" si="138"/>
        <v>0</v>
      </c>
      <c r="L227" s="153"/>
      <c r="M227" s="750">
        <f t="shared" si="139"/>
        <v>0</v>
      </c>
      <c r="N227" s="843"/>
      <c r="O227" s="842">
        <f t="shared" si="126"/>
        <v>0</v>
      </c>
      <c r="P227" s="841"/>
      <c r="Q227" s="750">
        <f t="shared" si="118"/>
        <v>0</v>
      </c>
      <c r="R227" s="153"/>
      <c r="S227" s="750">
        <f t="shared" si="131"/>
        <v>0</v>
      </c>
      <c r="T227" s="153"/>
      <c r="U227" s="750">
        <f t="shared" si="120"/>
        <v>0</v>
      </c>
      <c r="V227" s="843"/>
      <c r="W227" s="842">
        <f t="shared" si="121"/>
        <v>0</v>
      </c>
      <c r="X227" s="153"/>
      <c r="Y227" s="750">
        <f t="shared" si="122"/>
        <v>0</v>
      </c>
      <c r="Z227" s="843"/>
      <c r="AA227" s="842">
        <f t="shared" si="123"/>
        <v>0</v>
      </c>
      <c r="AB227" s="153"/>
      <c r="AC227" s="750">
        <f t="shared" si="124"/>
        <v>0</v>
      </c>
      <c r="AD227" s="844">
        <v>0.15</v>
      </c>
      <c r="AE227" s="845"/>
      <c r="AF227" s="1283"/>
      <c r="AG227" s="751">
        <f t="shared" si="143"/>
        <v>0.85</v>
      </c>
      <c r="AH227" s="1036">
        <f t="shared" si="141"/>
        <v>0.85</v>
      </c>
      <c r="AI227" s="1058">
        <f t="shared" si="142"/>
        <v>1</v>
      </c>
      <c r="AJ227" s="1040">
        <f t="shared" si="133"/>
        <v>1</v>
      </c>
      <c r="AK227" s="1041">
        <f>66+19</f>
        <v>85</v>
      </c>
      <c r="AL227" s="1042"/>
      <c r="AM227" s="1042"/>
      <c r="AN227" s="1042"/>
      <c r="AO227" s="1042"/>
      <c r="AP227" s="1043">
        <f t="shared" si="100"/>
        <v>84</v>
      </c>
      <c r="AQ227" s="1044"/>
    </row>
    <row r="228" spans="1:43" ht="21" customHeight="1">
      <c r="A228" s="1285" t="s">
        <v>581</v>
      </c>
      <c r="B228" s="1286" t="s">
        <v>786</v>
      </c>
      <c r="C228" s="1287" t="s">
        <v>787</v>
      </c>
      <c r="D228" s="986">
        <v>3.7</v>
      </c>
      <c r="E228" s="987"/>
      <c r="F228" s="637"/>
      <c r="G228" s="636">
        <f t="shared" si="144"/>
        <v>0</v>
      </c>
      <c r="H228" s="634">
        <v>2</v>
      </c>
      <c r="I228" s="631">
        <f t="shared" si="137"/>
        <v>7.4</v>
      </c>
      <c r="J228" s="637"/>
      <c r="K228" s="636">
        <f t="shared" si="138"/>
        <v>0</v>
      </c>
      <c r="L228" s="634"/>
      <c r="M228" s="631">
        <f t="shared" si="139"/>
        <v>0</v>
      </c>
      <c r="N228" s="637"/>
      <c r="O228" s="636">
        <f t="shared" si="126"/>
        <v>0</v>
      </c>
      <c r="P228" s="635"/>
      <c r="Q228" s="631">
        <f t="shared" si="118"/>
        <v>0</v>
      </c>
      <c r="R228" s="634"/>
      <c r="S228" s="631">
        <f t="shared" si="131"/>
        <v>0</v>
      </c>
      <c r="T228" s="634"/>
      <c r="U228" s="631">
        <f t="shared" si="120"/>
        <v>0</v>
      </c>
      <c r="V228" s="637"/>
      <c r="W228" s="636">
        <f t="shared" si="121"/>
        <v>0</v>
      </c>
      <c r="X228" s="634"/>
      <c r="Y228" s="631">
        <f t="shared" si="122"/>
        <v>0</v>
      </c>
      <c r="Z228" s="637"/>
      <c r="AA228" s="636">
        <f t="shared" si="123"/>
        <v>0</v>
      </c>
      <c r="AB228" s="634"/>
      <c r="AC228" s="631">
        <f t="shared" si="124"/>
        <v>0</v>
      </c>
      <c r="AD228" s="638">
        <f>'[1]Commande Alimentaire'!E58</f>
        <v>2.124</v>
      </c>
      <c r="AE228" s="639"/>
      <c r="AF228" s="853">
        <v>0.2</v>
      </c>
      <c r="AG228" s="641">
        <f t="shared" si="143"/>
        <v>1.576</v>
      </c>
      <c r="AH228" s="1025">
        <f t="shared" si="141"/>
        <v>3.152</v>
      </c>
      <c r="AI228" s="1288">
        <f t="shared" si="142"/>
        <v>7.4</v>
      </c>
      <c r="AJ228" s="1048">
        <f t="shared" si="133"/>
        <v>2</v>
      </c>
      <c r="AK228" s="1049">
        <v>9</v>
      </c>
      <c r="AL228" s="1050"/>
      <c r="AM228" s="1050">
        <v>4</v>
      </c>
      <c r="AN228" s="1050">
        <v>6</v>
      </c>
      <c r="AO228" s="1050">
        <v>1</v>
      </c>
      <c r="AP228" s="1051">
        <f>(AK228+AL228)-AJ228-AM228+AN228-AO228</f>
        <v>8</v>
      </c>
      <c r="AQ228" s="1289"/>
    </row>
    <row r="229" spans="1:43" ht="20.25">
      <c r="A229" s="1285"/>
      <c r="B229" s="1286"/>
      <c r="C229" s="525" t="s">
        <v>788</v>
      </c>
      <c r="D229" s="999">
        <v>3.7</v>
      </c>
      <c r="E229" s="1000"/>
      <c r="F229" s="659"/>
      <c r="G229" s="658">
        <f t="shared" si="144"/>
        <v>0</v>
      </c>
      <c r="H229" s="68"/>
      <c r="I229" s="654">
        <f t="shared" si="137"/>
        <v>0</v>
      </c>
      <c r="J229" s="659"/>
      <c r="K229" s="658">
        <f t="shared" si="138"/>
        <v>0</v>
      </c>
      <c r="L229" s="68"/>
      <c r="M229" s="654">
        <f t="shared" si="139"/>
        <v>0</v>
      </c>
      <c r="N229" s="659"/>
      <c r="O229" s="658">
        <f t="shared" si="126"/>
        <v>0</v>
      </c>
      <c r="P229" s="657"/>
      <c r="Q229" s="654">
        <f t="shared" si="118"/>
        <v>0</v>
      </c>
      <c r="R229" s="68"/>
      <c r="S229" s="631">
        <f t="shared" si="131"/>
        <v>0</v>
      </c>
      <c r="T229" s="68"/>
      <c r="U229" s="631">
        <f t="shared" si="120"/>
        <v>0</v>
      </c>
      <c r="V229" s="659"/>
      <c r="W229" s="636">
        <f t="shared" si="121"/>
        <v>0</v>
      </c>
      <c r="X229" s="68"/>
      <c r="Y229" s="631">
        <f t="shared" si="122"/>
        <v>0</v>
      </c>
      <c r="Z229" s="659"/>
      <c r="AA229" s="636">
        <f t="shared" si="123"/>
        <v>0</v>
      </c>
      <c r="AB229" s="68"/>
      <c r="AC229" s="631">
        <f t="shared" si="124"/>
        <v>0</v>
      </c>
      <c r="AD229" s="660">
        <f>'[1]Commande Alimentaire'!E59</f>
        <v>2.148</v>
      </c>
      <c r="AE229" s="661"/>
      <c r="AF229" s="853"/>
      <c r="AG229" s="662">
        <f t="shared" si="143"/>
        <v>1.552</v>
      </c>
      <c r="AH229" s="1003">
        <f t="shared" si="141"/>
        <v>0</v>
      </c>
      <c r="AI229" s="1004">
        <f t="shared" si="142"/>
        <v>0</v>
      </c>
      <c r="AJ229" s="1005">
        <f t="shared" si="133"/>
        <v>0</v>
      </c>
      <c r="AK229" s="1006">
        <v>12</v>
      </c>
      <c r="AL229" s="1007"/>
      <c r="AM229" s="1007">
        <v>8</v>
      </c>
      <c r="AN229" s="1007">
        <v>2</v>
      </c>
      <c r="AO229" s="1007"/>
      <c r="AP229" s="1008">
        <f aca="true" t="shared" si="145" ref="AP229:AP230">(AK229+AL229)-AJ229-AM229+AN229</f>
        <v>6</v>
      </c>
      <c r="AQ229" s="1009"/>
    </row>
    <row r="230" spans="1:43" ht="20.25">
      <c r="A230" s="1285"/>
      <c r="B230" s="1286"/>
      <c r="C230" s="525" t="s">
        <v>789</v>
      </c>
      <c r="D230" s="999">
        <v>3.7</v>
      </c>
      <c r="E230" s="1000"/>
      <c r="F230" s="659"/>
      <c r="G230" s="658">
        <f t="shared" si="144"/>
        <v>0</v>
      </c>
      <c r="H230" s="68"/>
      <c r="I230" s="654">
        <f t="shared" si="137"/>
        <v>0</v>
      </c>
      <c r="J230" s="659"/>
      <c r="K230" s="658">
        <f t="shared" si="138"/>
        <v>0</v>
      </c>
      <c r="L230" s="68"/>
      <c r="M230" s="654">
        <f t="shared" si="139"/>
        <v>0</v>
      </c>
      <c r="N230" s="659"/>
      <c r="O230" s="658">
        <f t="shared" si="126"/>
        <v>0</v>
      </c>
      <c r="P230" s="657"/>
      <c r="Q230" s="654">
        <f t="shared" si="118"/>
        <v>0</v>
      </c>
      <c r="R230" s="68"/>
      <c r="S230" s="631">
        <f t="shared" si="131"/>
        <v>0</v>
      </c>
      <c r="T230" s="68"/>
      <c r="U230" s="631">
        <f t="shared" si="120"/>
        <v>0</v>
      </c>
      <c r="V230" s="659"/>
      <c r="W230" s="636">
        <f t="shared" si="121"/>
        <v>0</v>
      </c>
      <c r="X230" s="68"/>
      <c r="Y230" s="631">
        <f t="shared" si="122"/>
        <v>0</v>
      </c>
      <c r="Z230" s="659"/>
      <c r="AA230" s="636">
        <f t="shared" si="123"/>
        <v>0</v>
      </c>
      <c r="AB230" s="68"/>
      <c r="AC230" s="631">
        <f t="shared" si="124"/>
        <v>0</v>
      </c>
      <c r="AD230" s="660">
        <f>'[1]Commande Alimentaire'!E60</f>
        <v>2.28</v>
      </c>
      <c r="AE230" s="661"/>
      <c r="AF230" s="853"/>
      <c r="AG230" s="662">
        <f t="shared" si="143"/>
        <v>1.4200000000000004</v>
      </c>
      <c r="AH230" s="1003">
        <f t="shared" si="141"/>
        <v>0</v>
      </c>
      <c r="AI230" s="1004">
        <f t="shared" si="142"/>
        <v>0</v>
      </c>
      <c r="AJ230" s="1005">
        <f t="shared" si="133"/>
        <v>0</v>
      </c>
      <c r="AK230" s="1006">
        <v>0</v>
      </c>
      <c r="AL230" s="1007"/>
      <c r="AM230" s="1007"/>
      <c r="AN230" s="1007">
        <v>2</v>
      </c>
      <c r="AO230" s="1007"/>
      <c r="AP230" s="1008">
        <f t="shared" si="145"/>
        <v>2</v>
      </c>
      <c r="AQ230" s="1009"/>
    </row>
    <row r="231" spans="1:43" ht="20.25">
      <c r="A231" s="1285"/>
      <c r="B231" s="1286"/>
      <c r="C231" s="525" t="s">
        <v>790</v>
      </c>
      <c r="D231" s="999">
        <v>3.7</v>
      </c>
      <c r="E231" s="1000"/>
      <c r="F231" s="659"/>
      <c r="G231" s="658">
        <f t="shared" si="144"/>
        <v>0</v>
      </c>
      <c r="H231" s="68">
        <v>2</v>
      </c>
      <c r="I231" s="654">
        <f t="shared" si="137"/>
        <v>7.4</v>
      </c>
      <c r="J231" s="659"/>
      <c r="K231" s="658">
        <f t="shared" si="138"/>
        <v>0</v>
      </c>
      <c r="L231" s="68"/>
      <c r="M231" s="654">
        <f t="shared" si="139"/>
        <v>0</v>
      </c>
      <c r="N231" s="659"/>
      <c r="O231" s="658">
        <f t="shared" si="126"/>
        <v>0</v>
      </c>
      <c r="P231" s="657"/>
      <c r="Q231" s="654">
        <f t="shared" si="118"/>
        <v>0</v>
      </c>
      <c r="R231" s="68"/>
      <c r="S231" s="631">
        <f t="shared" si="131"/>
        <v>0</v>
      </c>
      <c r="T231" s="68"/>
      <c r="U231" s="631">
        <f t="shared" si="120"/>
        <v>0</v>
      </c>
      <c r="V231" s="659"/>
      <c r="W231" s="636">
        <f t="shared" si="121"/>
        <v>0</v>
      </c>
      <c r="X231" s="68"/>
      <c r="Y231" s="631">
        <f t="shared" si="122"/>
        <v>0</v>
      </c>
      <c r="Z231" s="659"/>
      <c r="AA231" s="636">
        <f t="shared" si="123"/>
        <v>0</v>
      </c>
      <c r="AB231" s="68"/>
      <c r="AC231" s="631">
        <f t="shared" si="124"/>
        <v>0</v>
      </c>
      <c r="AD231" s="660">
        <f>'[1]Commande Alimentaire'!E61</f>
        <v>2.244</v>
      </c>
      <c r="AE231" s="661"/>
      <c r="AF231" s="853"/>
      <c r="AG231" s="662">
        <f t="shared" si="143"/>
        <v>1.456</v>
      </c>
      <c r="AH231" s="1003">
        <f t="shared" si="141"/>
        <v>2.912</v>
      </c>
      <c r="AI231" s="1004">
        <f t="shared" si="142"/>
        <v>7.4</v>
      </c>
      <c r="AJ231" s="1005">
        <f t="shared" si="133"/>
        <v>2</v>
      </c>
      <c r="AK231" s="1006">
        <v>10</v>
      </c>
      <c r="AL231" s="1007"/>
      <c r="AM231" s="1007">
        <v>2</v>
      </c>
      <c r="AN231" s="1007">
        <v>2</v>
      </c>
      <c r="AO231" s="1007">
        <v>2</v>
      </c>
      <c r="AP231" s="1008">
        <f aca="true" t="shared" si="146" ref="AP231:AP232">(AK231+AL231)-AJ231-AM231+AN231-AO231</f>
        <v>6</v>
      </c>
      <c r="AQ231" s="1009"/>
    </row>
    <row r="232" spans="1:44" ht="20.25">
      <c r="A232" s="1285"/>
      <c r="B232" s="1286"/>
      <c r="C232" s="525" t="s">
        <v>791</v>
      </c>
      <c r="D232" s="999">
        <v>3.7</v>
      </c>
      <c r="E232" s="1000"/>
      <c r="F232" s="659"/>
      <c r="G232" s="658">
        <f t="shared" si="144"/>
        <v>0</v>
      </c>
      <c r="H232" s="68">
        <v>2</v>
      </c>
      <c r="I232" s="654">
        <f t="shared" si="137"/>
        <v>7.4</v>
      </c>
      <c r="J232" s="659"/>
      <c r="K232" s="658">
        <f t="shared" si="138"/>
        <v>0</v>
      </c>
      <c r="L232" s="68"/>
      <c r="M232" s="654">
        <f t="shared" si="139"/>
        <v>0</v>
      </c>
      <c r="N232" s="659"/>
      <c r="O232" s="658">
        <f t="shared" si="126"/>
        <v>0</v>
      </c>
      <c r="P232" s="657"/>
      <c r="Q232" s="654">
        <f t="shared" si="118"/>
        <v>0</v>
      </c>
      <c r="R232" s="68"/>
      <c r="S232" s="631">
        <f t="shared" si="131"/>
        <v>0</v>
      </c>
      <c r="T232" s="68"/>
      <c r="U232" s="631">
        <f t="shared" si="120"/>
        <v>0</v>
      </c>
      <c r="V232" s="659"/>
      <c r="W232" s="636">
        <f t="shared" si="121"/>
        <v>0</v>
      </c>
      <c r="X232" s="68"/>
      <c r="Y232" s="631">
        <f t="shared" si="122"/>
        <v>0</v>
      </c>
      <c r="Z232" s="659"/>
      <c r="AA232" s="636">
        <f t="shared" si="123"/>
        <v>0</v>
      </c>
      <c r="AB232" s="68"/>
      <c r="AC232" s="631">
        <f t="shared" si="124"/>
        <v>0</v>
      </c>
      <c r="AD232" s="660">
        <f>'[1]Commande Alimentaire'!E62</f>
        <v>2.148</v>
      </c>
      <c r="AE232" s="661"/>
      <c r="AF232" s="853"/>
      <c r="AG232" s="662">
        <f t="shared" si="143"/>
        <v>1.552</v>
      </c>
      <c r="AH232" s="1003">
        <f t="shared" si="141"/>
        <v>3.104</v>
      </c>
      <c r="AI232" s="1004">
        <f t="shared" si="142"/>
        <v>7.4</v>
      </c>
      <c r="AJ232" s="1005">
        <f t="shared" si="133"/>
        <v>2</v>
      </c>
      <c r="AK232" s="1006">
        <v>8</v>
      </c>
      <c r="AL232" s="1007"/>
      <c r="AM232" s="1007">
        <v>2</v>
      </c>
      <c r="AN232" s="1007">
        <v>2</v>
      </c>
      <c r="AO232" s="1007">
        <v>4</v>
      </c>
      <c r="AP232" s="1008">
        <f t="shared" si="146"/>
        <v>2</v>
      </c>
      <c r="AQ232" s="1009"/>
      <c r="AR232" t="s">
        <v>792</v>
      </c>
    </row>
    <row r="233" spans="1:44" ht="76.5">
      <c r="A233" s="1285"/>
      <c r="B233" s="1286"/>
      <c r="C233" s="525" t="s">
        <v>135</v>
      </c>
      <c r="D233" s="999">
        <v>25</v>
      </c>
      <c r="E233" s="1000"/>
      <c r="F233" s="659"/>
      <c r="G233" s="658">
        <f t="shared" si="144"/>
        <v>0</v>
      </c>
      <c r="H233" s="68"/>
      <c r="I233" s="654">
        <f t="shared" si="137"/>
        <v>0</v>
      </c>
      <c r="J233" s="659"/>
      <c r="K233" s="658">
        <f t="shared" si="138"/>
        <v>0</v>
      </c>
      <c r="L233" s="68"/>
      <c r="M233" s="654">
        <f t="shared" si="139"/>
        <v>0</v>
      </c>
      <c r="N233" s="659"/>
      <c r="O233" s="658">
        <f t="shared" si="126"/>
        <v>0</v>
      </c>
      <c r="P233" s="657"/>
      <c r="Q233" s="654">
        <f t="shared" si="118"/>
        <v>0</v>
      </c>
      <c r="R233" s="68"/>
      <c r="S233" s="631">
        <f t="shared" si="131"/>
        <v>0</v>
      </c>
      <c r="T233" s="68"/>
      <c r="U233" s="631">
        <f t="shared" si="120"/>
        <v>0</v>
      </c>
      <c r="V233" s="659"/>
      <c r="W233" s="636">
        <f t="shared" si="121"/>
        <v>0</v>
      </c>
      <c r="X233" s="68"/>
      <c r="Y233" s="631">
        <f t="shared" si="122"/>
        <v>0</v>
      </c>
      <c r="Z233" s="659"/>
      <c r="AA233" s="636">
        <f t="shared" si="123"/>
        <v>0</v>
      </c>
      <c r="AB233" s="68"/>
      <c r="AC233" s="631">
        <f t="shared" si="124"/>
        <v>0</v>
      </c>
      <c r="AD233" s="660">
        <f>'[1]Commande Alimentaire'!E67</f>
        <v>16.5</v>
      </c>
      <c r="AE233" s="661"/>
      <c r="AF233" s="853"/>
      <c r="AG233" s="662">
        <f t="shared" si="143"/>
        <v>8.5</v>
      </c>
      <c r="AH233" s="1003">
        <f t="shared" si="141"/>
        <v>0</v>
      </c>
      <c r="AI233" s="1004">
        <f t="shared" si="142"/>
        <v>0</v>
      </c>
      <c r="AJ233" s="1005">
        <f t="shared" si="133"/>
        <v>0</v>
      </c>
      <c r="AK233" s="1006">
        <v>3</v>
      </c>
      <c r="AL233" s="1007"/>
      <c r="AM233" s="1007"/>
      <c r="AN233" s="1007"/>
      <c r="AO233" s="1007"/>
      <c r="AP233" s="1008">
        <f aca="true" t="shared" si="147" ref="AP233:AP251">(AK233+AL233)-AJ233-AM233+AN233</f>
        <v>3</v>
      </c>
      <c r="AQ233" s="1009"/>
      <c r="AR233" s="1290" t="s">
        <v>793</v>
      </c>
    </row>
    <row r="234" spans="1:43" ht="20.25">
      <c r="A234" s="1285"/>
      <c r="B234" s="1286"/>
      <c r="C234" s="525" t="s">
        <v>794</v>
      </c>
      <c r="D234" s="999">
        <v>7.2</v>
      </c>
      <c r="E234" s="1000"/>
      <c r="F234" s="659"/>
      <c r="G234" s="658">
        <f t="shared" si="144"/>
        <v>0</v>
      </c>
      <c r="H234" s="68"/>
      <c r="I234" s="654">
        <f t="shared" si="137"/>
        <v>0</v>
      </c>
      <c r="J234" s="659"/>
      <c r="K234" s="658">
        <f t="shared" si="138"/>
        <v>0</v>
      </c>
      <c r="L234" s="68"/>
      <c r="M234" s="654">
        <f t="shared" si="139"/>
        <v>0</v>
      </c>
      <c r="N234" s="659"/>
      <c r="O234" s="658">
        <f t="shared" si="126"/>
        <v>0</v>
      </c>
      <c r="P234" s="657">
        <v>1</v>
      </c>
      <c r="Q234" s="654">
        <f t="shared" si="118"/>
        <v>7.2</v>
      </c>
      <c r="R234" s="68"/>
      <c r="S234" s="631">
        <f t="shared" si="131"/>
        <v>0</v>
      </c>
      <c r="T234" s="68"/>
      <c r="U234" s="631">
        <f t="shared" si="120"/>
        <v>0</v>
      </c>
      <c r="V234" s="659"/>
      <c r="W234" s="636">
        <f t="shared" si="121"/>
        <v>0</v>
      </c>
      <c r="X234" s="68"/>
      <c r="Y234" s="631">
        <f t="shared" si="122"/>
        <v>0</v>
      </c>
      <c r="Z234" s="659"/>
      <c r="AA234" s="636">
        <f t="shared" si="123"/>
        <v>0</v>
      </c>
      <c r="AB234" s="68"/>
      <c r="AC234" s="631">
        <f t="shared" si="124"/>
        <v>0</v>
      </c>
      <c r="AD234" s="660">
        <f>'[1]Commande Alimentaire'!E68</f>
        <v>5.76</v>
      </c>
      <c r="AE234" s="661"/>
      <c r="AF234" s="853"/>
      <c r="AG234" s="662">
        <f t="shared" si="143"/>
        <v>1.4400000000000004</v>
      </c>
      <c r="AH234" s="1003">
        <f t="shared" si="141"/>
        <v>1.4400000000000004</v>
      </c>
      <c r="AI234" s="1004">
        <f t="shared" si="142"/>
        <v>7.2</v>
      </c>
      <c r="AJ234" s="1005">
        <f t="shared" si="133"/>
        <v>1</v>
      </c>
      <c r="AK234" s="1006">
        <v>12</v>
      </c>
      <c r="AL234" s="1007"/>
      <c r="AM234" s="1007">
        <v>6</v>
      </c>
      <c r="AN234" s="1007"/>
      <c r="AO234" s="1007"/>
      <c r="AP234" s="1008">
        <f t="shared" si="147"/>
        <v>5</v>
      </c>
      <c r="AQ234" s="1009"/>
    </row>
    <row r="235" spans="1:43" ht="21">
      <c r="A235" s="1285"/>
      <c r="B235" s="1286"/>
      <c r="C235" s="1010" t="s">
        <v>583</v>
      </c>
      <c r="D235" s="1011">
        <v>5.2</v>
      </c>
      <c r="E235" s="1012"/>
      <c r="F235" s="706"/>
      <c r="G235" s="705">
        <f t="shared" si="144"/>
        <v>0</v>
      </c>
      <c r="H235" s="703"/>
      <c r="I235" s="700">
        <f t="shared" si="137"/>
        <v>0</v>
      </c>
      <c r="J235" s="706"/>
      <c r="K235" s="705">
        <f t="shared" si="138"/>
        <v>0</v>
      </c>
      <c r="L235" s="703"/>
      <c r="M235" s="700">
        <f t="shared" si="139"/>
        <v>0</v>
      </c>
      <c r="N235" s="706"/>
      <c r="O235" s="705">
        <f t="shared" si="126"/>
        <v>0</v>
      </c>
      <c r="P235" s="704"/>
      <c r="Q235" s="700">
        <f t="shared" si="118"/>
        <v>0</v>
      </c>
      <c r="R235" s="703"/>
      <c r="S235" s="878">
        <f t="shared" si="131"/>
        <v>0</v>
      </c>
      <c r="T235" s="703"/>
      <c r="U235" s="878">
        <f t="shared" si="120"/>
        <v>0</v>
      </c>
      <c r="V235" s="706"/>
      <c r="W235" s="705">
        <f t="shared" si="121"/>
        <v>0</v>
      </c>
      <c r="X235" s="703"/>
      <c r="Y235" s="700">
        <f t="shared" si="122"/>
        <v>0</v>
      </c>
      <c r="Z235" s="706"/>
      <c r="AA235" s="705">
        <f t="shared" si="123"/>
        <v>0</v>
      </c>
      <c r="AB235" s="703"/>
      <c r="AC235" s="878">
        <f t="shared" si="124"/>
        <v>0</v>
      </c>
      <c r="AD235" s="707">
        <f>'[1]Commande Alimentaire'!E69</f>
        <v>3.36</v>
      </c>
      <c r="AE235" s="708"/>
      <c r="AF235" s="1291">
        <v>0.055</v>
      </c>
      <c r="AG235" s="709">
        <f t="shared" si="143"/>
        <v>1.8400000000000003</v>
      </c>
      <c r="AH235" s="1024">
        <f t="shared" si="141"/>
        <v>0</v>
      </c>
      <c r="AI235" s="1292">
        <f t="shared" si="142"/>
        <v>0</v>
      </c>
      <c r="AJ235" s="1293">
        <f t="shared" si="133"/>
        <v>0</v>
      </c>
      <c r="AK235" s="1294">
        <v>2</v>
      </c>
      <c r="AL235" s="714"/>
      <c r="AM235" s="714"/>
      <c r="AN235" s="714"/>
      <c r="AO235" s="714"/>
      <c r="AP235" s="1295">
        <f t="shared" si="147"/>
        <v>2</v>
      </c>
      <c r="AQ235" s="1296"/>
    </row>
    <row r="236" spans="1:43" ht="21" customHeight="1">
      <c r="A236" s="1297" t="s">
        <v>795</v>
      </c>
      <c r="B236" s="1298" t="s">
        <v>178</v>
      </c>
      <c r="C236" s="1299" t="s">
        <v>585</v>
      </c>
      <c r="D236" s="1140">
        <v>1</v>
      </c>
      <c r="E236" s="1029"/>
      <c r="F236" s="843"/>
      <c r="G236" s="842">
        <f t="shared" si="144"/>
        <v>0</v>
      </c>
      <c r="H236" s="153"/>
      <c r="I236" s="750">
        <f t="shared" si="137"/>
        <v>0</v>
      </c>
      <c r="J236" s="843"/>
      <c r="K236" s="842">
        <f t="shared" si="138"/>
        <v>0</v>
      </c>
      <c r="L236" s="153"/>
      <c r="M236" s="750">
        <f t="shared" si="139"/>
        <v>0</v>
      </c>
      <c r="N236" s="843"/>
      <c r="O236" s="842">
        <f t="shared" si="126"/>
        <v>0</v>
      </c>
      <c r="P236" s="841"/>
      <c r="Q236" s="750">
        <f t="shared" si="118"/>
        <v>0</v>
      </c>
      <c r="R236" s="153"/>
      <c r="S236" s="724">
        <f t="shared" si="131"/>
        <v>0</v>
      </c>
      <c r="T236" s="153"/>
      <c r="U236" s="750">
        <f t="shared" si="120"/>
        <v>0</v>
      </c>
      <c r="V236" s="843"/>
      <c r="W236" s="842">
        <f t="shared" si="121"/>
        <v>0</v>
      </c>
      <c r="X236" s="153"/>
      <c r="Y236" s="750">
        <f t="shared" si="122"/>
        <v>0</v>
      </c>
      <c r="Z236" s="843"/>
      <c r="AA236" s="842">
        <f t="shared" si="123"/>
        <v>0</v>
      </c>
      <c r="AB236" s="153"/>
      <c r="AC236" s="750">
        <f t="shared" si="124"/>
        <v>0</v>
      </c>
      <c r="AD236" s="844">
        <f>'[1]Commande Souvenirs, librairie'!F136</f>
        <v>0.3</v>
      </c>
      <c r="AE236" s="845"/>
      <c r="AF236" s="1300"/>
      <c r="AG236" s="751">
        <f t="shared" si="143"/>
        <v>0.7</v>
      </c>
      <c r="AH236" s="1015">
        <f t="shared" si="141"/>
        <v>0</v>
      </c>
      <c r="AI236" s="1124">
        <f t="shared" si="142"/>
        <v>0</v>
      </c>
      <c r="AJ236" s="1125">
        <f t="shared" si="133"/>
        <v>0</v>
      </c>
      <c r="AK236" s="1301"/>
      <c r="AL236" s="1127"/>
      <c r="AM236" s="1127"/>
      <c r="AN236" s="1127"/>
      <c r="AO236" s="1127"/>
      <c r="AP236" s="1128">
        <f t="shared" si="147"/>
        <v>0</v>
      </c>
      <c r="AQ236" s="1302"/>
    </row>
    <row r="237" spans="1:43" ht="21">
      <c r="A237" s="1297"/>
      <c r="B237" s="1298"/>
      <c r="C237" s="526" t="s">
        <v>586</v>
      </c>
      <c r="D237" s="1032">
        <v>0.5</v>
      </c>
      <c r="E237" s="1033"/>
      <c r="F237" s="683"/>
      <c r="G237" s="682">
        <f t="shared" si="144"/>
        <v>0</v>
      </c>
      <c r="H237" s="680"/>
      <c r="I237" s="677">
        <f t="shared" si="137"/>
        <v>0</v>
      </c>
      <c r="J237" s="683"/>
      <c r="K237" s="682">
        <f t="shared" si="138"/>
        <v>0</v>
      </c>
      <c r="L237" s="680"/>
      <c r="M237" s="677">
        <f t="shared" si="139"/>
        <v>0</v>
      </c>
      <c r="N237" s="683"/>
      <c r="O237" s="682">
        <f t="shared" si="126"/>
        <v>0</v>
      </c>
      <c r="P237" s="681"/>
      <c r="Q237" s="677">
        <f t="shared" si="118"/>
        <v>0</v>
      </c>
      <c r="R237" s="680"/>
      <c r="S237" s="1148">
        <f t="shared" si="131"/>
        <v>0</v>
      </c>
      <c r="T237" s="680"/>
      <c r="U237" s="677">
        <f t="shared" si="120"/>
        <v>0</v>
      </c>
      <c r="V237" s="683"/>
      <c r="W237" s="682">
        <f t="shared" si="121"/>
        <v>0</v>
      </c>
      <c r="X237" s="680"/>
      <c r="Y237" s="677">
        <f t="shared" si="122"/>
        <v>0</v>
      </c>
      <c r="Z237" s="683"/>
      <c r="AA237" s="682">
        <f t="shared" si="123"/>
        <v>0</v>
      </c>
      <c r="AB237" s="680"/>
      <c r="AC237" s="677">
        <f t="shared" si="124"/>
        <v>0</v>
      </c>
      <c r="AD237" s="684">
        <f>'[1]Commande Souvenirs, librairie'!F135</f>
        <v>0.12000000000000001</v>
      </c>
      <c r="AE237" s="685"/>
      <c r="AF237" s="1229"/>
      <c r="AG237" s="686">
        <f t="shared" si="143"/>
        <v>0.38</v>
      </c>
      <c r="AH237" s="1055">
        <f t="shared" si="141"/>
        <v>0</v>
      </c>
      <c r="AI237" s="1058">
        <f t="shared" si="142"/>
        <v>0</v>
      </c>
      <c r="AJ237" s="1040">
        <f t="shared" si="133"/>
        <v>0</v>
      </c>
      <c r="AK237" s="1303"/>
      <c r="AL237" s="1042"/>
      <c r="AM237" s="1042"/>
      <c r="AN237" s="1042"/>
      <c r="AO237" s="1042"/>
      <c r="AP237" s="1043">
        <f t="shared" si="147"/>
        <v>0</v>
      </c>
      <c r="AQ237" s="1304"/>
    </row>
    <row r="238" spans="1:43" ht="20.25" customHeight="1">
      <c r="A238" s="821" t="s">
        <v>614</v>
      </c>
      <c r="B238" s="1275"/>
      <c r="C238" s="1305">
        <v>10</v>
      </c>
      <c r="D238" s="986">
        <v>10</v>
      </c>
      <c r="E238" s="987"/>
      <c r="F238" s="637"/>
      <c r="G238" s="636">
        <f t="shared" si="144"/>
        <v>0</v>
      </c>
      <c r="H238" s="634"/>
      <c r="I238" s="631">
        <f t="shared" si="137"/>
        <v>0</v>
      </c>
      <c r="J238" s="637"/>
      <c r="K238" s="636">
        <f t="shared" si="138"/>
        <v>0</v>
      </c>
      <c r="L238" s="634"/>
      <c r="M238" s="631">
        <f t="shared" si="139"/>
        <v>0</v>
      </c>
      <c r="N238" s="637"/>
      <c r="O238" s="636">
        <f t="shared" si="126"/>
        <v>0</v>
      </c>
      <c r="P238" s="635"/>
      <c r="Q238" s="631">
        <f t="shared" si="118"/>
        <v>0</v>
      </c>
      <c r="R238" s="637"/>
      <c r="S238" s="636">
        <f t="shared" si="131"/>
        <v>0</v>
      </c>
      <c r="T238" s="634"/>
      <c r="U238" s="631">
        <f t="shared" si="120"/>
        <v>0</v>
      </c>
      <c r="V238" s="637"/>
      <c r="W238" s="636">
        <f t="shared" si="121"/>
        <v>0</v>
      </c>
      <c r="X238" s="634"/>
      <c r="Y238" s="631">
        <f t="shared" si="122"/>
        <v>0</v>
      </c>
      <c r="Z238" s="637"/>
      <c r="AA238" s="636">
        <f t="shared" si="123"/>
        <v>0</v>
      </c>
      <c r="AB238" s="634"/>
      <c r="AC238" s="631">
        <f t="shared" si="124"/>
        <v>0</v>
      </c>
      <c r="AD238" s="638"/>
      <c r="AE238" s="639"/>
      <c r="AF238" s="1306"/>
      <c r="AG238" s="641"/>
      <c r="AH238" s="1025"/>
      <c r="AI238" s="1288">
        <f t="shared" si="142"/>
        <v>0</v>
      </c>
      <c r="AJ238" s="1048">
        <f t="shared" si="133"/>
        <v>0</v>
      </c>
      <c r="AK238" s="1307"/>
      <c r="AL238" s="1050"/>
      <c r="AM238" s="1050"/>
      <c r="AN238" s="1050"/>
      <c r="AO238" s="1050"/>
      <c r="AP238" s="1051">
        <f t="shared" si="147"/>
        <v>0</v>
      </c>
      <c r="AQ238" s="1308"/>
    </row>
    <row r="239" spans="1:43" ht="20.25">
      <c r="A239" s="821"/>
      <c r="B239" s="1275"/>
      <c r="C239" s="1309">
        <v>20</v>
      </c>
      <c r="D239" s="999">
        <v>20</v>
      </c>
      <c r="E239" s="1000"/>
      <c r="F239" s="659"/>
      <c r="G239" s="658">
        <f t="shared" si="144"/>
        <v>0</v>
      </c>
      <c r="H239" s="68"/>
      <c r="I239" s="654">
        <f t="shared" si="137"/>
        <v>0</v>
      </c>
      <c r="J239" s="659"/>
      <c r="K239" s="658">
        <f t="shared" si="138"/>
        <v>0</v>
      </c>
      <c r="L239" s="68"/>
      <c r="M239" s="654">
        <f t="shared" si="139"/>
        <v>0</v>
      </c>
      <c r="N239" s="659"/>
      <c r="O239" s="658">
        <f t="shared" si="126"/>
        <v>0</v>
      </c>
      <c r="P239" s="657"/>
      <c r="Q239" s="654">
        <f t="shared" si="118"/>
        <v>0</v>
      </c>
      <c r="R239" s="659"/>
      <c r="S239" s="658">
        <f t="shared" si="131"/>
        <v>0</v>
      </c>
      <c r="T239" s="68"/>
      <c r="U239" s="654">
        <f t="shared" si="120"/>
        <v>0</v>
      </c>
      <c r="V239" s="659"/>
      <c r="W239" s="658">
        <f t="shared" si="121"/>
        <v>0</v>
      </c>
      <c r="X239" s="68"/>
      <c r="Y239" s="654">
        <f t="shared" si="122"/>
        <v>0</v>
      </c>
      <c r="Z239" s="659"/>
      <c r="AA239" s="658">
        <f t="shared" si="123"/>
        <v>0</v>
      </c>
      <c r="AB239" s="68"/>
      <c r="AC239" s="654">
        <f t="shared" si="124"/>
        <v>0</v>
      </c>
      <c r="AD239" s="660"/>
      <c r="AE239" s="661"/>
      <c r="AF239" s="1226"/>
      <c r="AG239" s="662"/>
      <c r="AH239" s="1003"/>
      <c r="AI239" s="1004">
        <f t="shared" si="142"/>
        <v>0</v>
      </c>
      <c r="AJ239" s="1005">
        <f t="shared" si="133"/>
        <v>0</v>
      </c>
      <c r="AK239" s="1175"/>
      <c r="AL239" s="1007"/>
      <c r="AM239" s="1007"/>
      <c r="AN239" s="1007"/>
      <c r="AO239" s="1007"/>
      <c r="AP239" s="1008">
        <f t="shared" si="147"/>
        <v>0</v>
      </c>
      <c r="AQ239" s="1176"/>
    </row>
    <row r="240" spans="1:43" ht="20.25">
      <c r="A240" s="821"/>
      <c r="B240" s="1275"/>
      <c r="C240" s="1310">
        <v>30</v>
      </c>
      <c r="D240" s="1011">
        <v>30</v>
      </c>
      <c r="E240" s="1012"/>
      <c r="F240" s="706"/>
      <c r="G240" s="705">
        <f t="shared" si="144"/>
        <v>0</v>
      </c>
      <c r="H240" s="703"/>
      <c r="I240" s="700">
        <f t="shared" si="137"/>
        <v>0</v>
      </c>
      <c r="J240" s="706"/>
      <c r="K240" s="705">
        <f t="shared" si="138"/>
        <v>0</v>
      </c>
      <c r="L240" s="703"/>
      <c r="M240" s="700">
        <f t="shared" si="139"/>
        <v>0</v>
      </c>
      <c r="N240" s="706"/>
      <c r="O240" s="705">
        <f t="shared" si="126"/>
        <v>0</v>
      </c>
      <c r="P240" s="704"/>
      <c r="Q240" s="700">
        <f t="shared" si="118"/>
        <v>0</v>
      </c>
      <c r="R240" s="706"/>
      <c r="S240" s="705">
        <f t="shared" si="131"/>
        <v>0</v>
      </c>
      <c r="T240" s="703"/>
      <c r="U240" s="700">
        <f t="shared" si="120"/>
        <v>0</v>
      </c>
      <c r="V240" s="706"/>
      <c r="W240" s="705">
        <f t="shared" si="121"/>
        <v>0</v>
      </c>
      <c r="X240" s="703"/>
      <c r="Y240" s="700">
        <f t="shared" si="122"/>
        <v>0</v>
      </c>
      <c r="Z240" s="706"/>
      <c r="AA240" s="705">
        <f t="shared" si="123"/>
        <v>0</v>
      </c>
      <c r="AB240" s="703"/>
      <c r="AC240" s="700">
        <f t="shared" si="124"/>
        <v>0</v>
      </c>
      <c r="AD240" s="707"/>
      <c r="AE240" s="708"/>
      <c r="AF240" s="1291"/>
      <c r="AG240" s="709"/>
      <c r="AH240" s="1024"/>
      <c r="AI240" s="1292">
        <f t="shared" si="142"/>
        <v>0</v>
      </c>
      <c r="AJ240" s="1293">
        <f t="shared" si="133"/>
        <v>0</v>
      </c>
      <c r="AK240" s="1311"/>
      <c r="AL240" s="714"/>
      <c r="AM240" s="714"/>
      <c r="AN240" s="714"/>
      <c r="AO240" s="714"/>
      <c r="AP240" s="1295">
        <f t="shared" si="147"/>
        <v>0</v>
      </c>
      <c r="AQ240" s="1312"/>
    </row>
    <row r="241" spans="1:43" ht="20.25">
      <c r="A241" s="1313"/>
      <c r="B241" s="1314" t="s">
        <v>319</v>
      </c>
      <c r="C241" s="1299" t="s">
        <v>796</v>
      </c>
      <c r="D241" s="1140">
        <v>1.3</v>
      </c>
      <c r="E241" s="1315"/>
      <c r="F241" s="925"/>
      <c r="G241" s="927">
        <f t="shared" si="144"/>
        <v>0</v>
      </c>
      <c r="H241" s="158"/>
      <c r="I241" s="928">
        <f t="shared" si="137"/>
        <v>0</v>
      </c>
      <c r="J241" s="925"/>
      <c r="K241" s="927">
        <f t="shared" si="138"/>
        <v>0</v>
      </c>
      <c r="L241" s="158"/>
      <c r="M241" s="928">
        <f t="shared" si="139"/>
        <v>0</v>
      </c>
      <c r="N241" s="925"/>
      <c r="O241" s="927">
        <f t="shared" si="126"/>
        <v>0</v>
      </c>
      <c r="P241" s="1316"/>
      <c r="Q241" s="928">
        <f t="shared" si="118"/>
        <v>0</v>
      </c>
      <c r="R241" s="925"/>
      <c r="S241" s="927">
        <f t="shared" si="131"/>
        <v>0</v>
      </c>
      <c r="T241" s="158"/>
      <c r="U241" s="928">
        <f t="shared" si="120"/>
        <v>0</v>
      </c>
      <c r="V241" s="925"/>
      <c r="W241" s="927">
        <f t="shared" si="121"/>
        <v>0</v>
      </c>
      <c r="X241" s="158"/>
      <c r="Y241" s="928">
        <f t="shared" si="122"/>
        <v>0</v>
      </c>
      <c r="Z241" s="925"/>
      <c r="AA241" s="927">
        <f t="shared" si="123"/>
        <v>0</v>
      </c>
      <c r="AB241" s="158"/>
      <c r="AC241" s="928">
        <f t="shared" si="124"/>
        <v>0</v>
      </c>
      <c r="AD241" s="844"/>
      <c r="AE241" s="845"/>
      <c r="AF241" s="1300"/>
      <c r="AG241" s="751"/>
      <c r="AH241" s="1015"/>
      <c r="AI241" s="1124">
        <f t="shared" si="142"/>
        <v>0</v>
      </c>
      <c r="AJ241" s="1125">
        <f t="shared" si="133"/>
        <v>0</v>
      </c>
      <c r="AK241" s="1126">
        <v>15</v>
      </c>
      <c r="AL241" s="1127"/>
      <c r="AM241" s="1127"/>
      <c r="AN241" s="1127"/>
      <c r="AO241" s="1127"/>
      <c r="AP241" s="1128">
        <f t="shared" si="147"/>
        <v>15</v>
      </c>
      <c r="AQ241" s="1129"/>
    </row>
    <row r="242" spans="1:43" ht="20.25">
      <c r="A242" s="1313"/>
      <c r="B242" s="1314"/>
      <c r="C242" s="525" t="s">
        <v>797</v>
      </c>
      <c r="D242" s="999">
        <v>1.3</v>
      </c>
      <c r="E242" s="1315"/>
      <c r="F242" s="925"/>
      <c r="G242" s="927">
        <f t="shared" si="144"/>
        <v>0</v>
      </c>
      <c r="H242" s="158"/>
      <c r="I242" s="928">
        <f t="shared" si="137"/>
        <v>0</v>
      </c>
      <c r="J242" s="925"/>
      <c r="K242" s="927">
        <f t="shared" si="138"/>
        <v>0</v>
      </c>
      <c r="L242" s="158"/>
      <c r="M242" s="928">
        <f t="shared" si="139"/>
        <v>0</v>
      </c>
      <c r="N242" s="925"/>
      <c r="O242" s="927">
        <f t="shared" si="126"/>
        <v>0</v>
      </c>
      <c r="P242" s="1316"/>
      <c r="Q242" s="928">
        <f t="shared" si="118"/>
        <v>0</v>
      </c>
      <c r="R242" s="925"/>
      <c r="S242" s="927">
        <f t="shared" si="131"/>
        <v>0</v>
      </c>
      <c r="T242" s="158"/>
      <c r="U242" s="928">
        <f t="shared" si="120"/>
        <v>0</v>
      </c>
      <c r="V242" s="925"/>
      <c r="W242" s="927">
        <f t="shared" si="121"/>
        <v>0</v>
      </c>
      <c r="X242" s="158"/>
      <c r="Y242" s="928">
        <f t="shared" si="122"/>
        <v>0</v>
      </c>
      <c r="Z242" s="925"/>
      <c r="AA242" s="927">
        <f t="shared" si="123"/>
        <v>0</v>
      </c>
      <c r="AB242" s="158"/>
      <c r="AC242" s="928">
        <f t="shared" si="124"/>
        <v>0</v>
      </c>
      <c r="AD242" s="844"/>
      <c r="AE242" s="845"/>
      <c r="AF242" s="1300"/>
      <c r="AG242" s="751"/>
      <c r="AH242" s="1015"/>
      <c r="AI242" s="1004">
        <f t="shared" si="142"/>
        <v>0</v>
      </c>
      <c r="AJ242" s="1005">
        <f t="shared" si="133"/>
        <v>0</v>
      </c>
      <c r="AK242" s="1006">
        <v>14</v>
      </c>
      <c r="AL242" s="1007"/>
      <c r="AM242" s="1007"/>
      <c r="AN242" s="1007"/>
      <c r="AO242" s="1007"/>
      <c r="AP242" s="1008">
        <f t="shared" si="147"/>
        <v>14</v>
      </c>
      <c r="AQ242" s="1009"/>
    </row>
    <row r="243" spans="1:43" ht="20.25">
      <c r="A243" s="1313"/>
      <c r="B243" s="1314"/>
      <c r="C243" s="525" t="s">
        <v>798</v>
      </c>
      <c r="D243" s="999">
        <v>1.3</v>
      </c>
      <c r="E243" s="1315"/>
      <c r="F243" s="925"/>
      <c r="G243" s="927">
        <f t="shared" si="144"/>
        <v>0</v>
      </c>
      <c r="H243" s="158"/>
      <c r="I243" s="928">
        <f t="shared" si="137"/>
        <v>0</v>
      </c>
      <c r="J243" s="925"/>
      <c r="K243" s="927">
        <f t="shared" si="138"/>
        <v>0</v>
      </c>
      <c r="L243" s="158"/>
      <c r="M243" s="928">
        <f t="shared" si="139"/>
        <v>0</v>
      </c>
      <c r="N243" s="925"/>
      <c r="O243" s="927">
        <f t="shared" si="126"/>
        <v>0</v>
      </c>
      <c r="P243" s="1316"/>
      <c r="Q243" s="928">
        <f t="shared" si="118"/>
        <v>0</v>
      </c>
      <c r="R243" s="925"/>
      <c r="S243" s="927">
        <f t="shared" si="131"/>
        <v>0</v>
      </c>
      <c r="T243" s="158"/>
      <c r="U243" s="928">
        <f t="shared" si="120"/>
        <v>0</v>
      </c>
      <c r="V243" s="925"/>
      <c r="W243" s="927">
        <f t="shared" si="121"/>
        <v>0</v>
      </c>
      <c r="X243" s="158"/>
      <c r="Y243" s="928">
        <f t="shared" si="122"/>
        <v>0</v>
      </c>
      <c r="Z243" s="925"/>
      <c r="AA243" s="927">
        <f t="shared" si="123"/>
        <v>0</v>
      </c>
      <c r="AB243" s="158"/>
      <c r="AC243" s="928">
        <f t="shared" si="124"/>
        <v>0</v>
      </c>
      <c r="AD243" s="844"/>
      <c r="AE243" s="845"/>
      <c r="AF243" s="1300"/>
      <c r="AG243" s="751"/>
      <c r="AH243" s="1015"/>
      <c r="AI243" s="1004">
        <f t="shared" si="142"/>
        <v>0</v>
      </c>
      <c r="AJ243" s="1005">
        <f t="shared" si="133"/>
        <v>0</v>
      </c>
      <c r="AK243" s="1006">
        <v>0</v>
      </c>
      <c r="AL243" s="1007">
        <v>20</v>
      </c>
      <c r="AM243" s="1007">
        <v>20</v>
      </c>
      <c r="AN243" s="1007"/>
      <c r="AO243" s="1007"/>
      <c r="AP243" s="1008">
        <f t="shared" si="147"/>
        <v>0</v>
      </c>
      <c r="AQ243" s="1009"/>
    </row>
    <row r="244" spans="1:43" ht="20.25">
      <c r="A244" s="1313"/>
      <c r="B244" s="1314"/>
      <c r="C244" s="525" t="s">
        <v>799</v>
      </c>
      <c r="D244" s="999">
        <v>1.3</v>
      </c>
      <c r="E244" s="1315"/>
      <c r="F244" s="925"/>
      <c r="G244" s="927">
        <f t="shared" si="144"/>
        <v>0</v>
      </c>
      <c r="H244" s="158"/>
      <c r="I244" s="928">
        <f t="shared" si="137"/>
        <v>0</v>
      </c>
      <c r="J244" s="925"/>
      <c r="K244" s="927">
        <f t="shared" si="138"/>
        <v>0</v>
      </c>
      <c r="L244" s="158"/>
      <c r="M244" s="928">
        <f t="shared" si="139"/>
        <v>0</v>
      </c>
      <c r="N244" s="925"/>
      <c r="O244" s="927">
        <f t="shared" si="126"/>
        <v>0</v>
      </c>
      <c r="P244" s="1316"/>
      <c r="Q244" s="928">
        <f t="shared" si="118"/>
        <v>0</v>
      </c>
      <c r="R244" s="925"/>
      <c r="S244" s="927">
        <f t="shared" si="131"/>
        <v>0</v>
      </c>
      <c r="T244" s="158"/>
      <c r="U244" s="928">
        <f t="shared" si="120"/>
        <v>0</v>
      </c>
      <c r="V244" s="925"/>
      <c r="W244" s="927">
        <f t="shared" si="121"/>
        <v>0</v>
      </c>
      <c r="X244" s="158"/>
      <c r="Y244" s="928">
        <f t="shared" si="122"/>
        <v>0</v>
      </c>
      <c r="Z244" s="925"/>
      <c r="AA244" s="927">
        <f t="shared" si="123"/>
        <v>0</v>
      </c>
      <c r="AB244" s="158"/>
      <c r="AC244" s="928">
        <f t="shared" si="124"/>
        <v>0</v>
      </c>
      <c r="AD244" s="844"/>
      <c r="AE244" s="845"/>
      <c r="AF244" s="1300"/>
      <c r="AG244" s="751"/>
      <c r="AH244" s="1015"/>
      <c r="AI244" s="1004">
        <f t="shared" si="142"/>
        <v>0</v>
      </c>
      <c r="AJ244" s="1005">
        <f t="shared" si="133"/>
        <v>0</v>
      </c>
      <c r="AK244" s="1006">
        <v>11</v>
      </c>
      <c r="AL244" s="1007">
        <v>20</v>
      </c>
      <c r="AM244" s="1007">
        <v>5</v>
      </c>
      <c r="AN244" s="1007"/>
      <c r="AO244" s="1007"/>
      <c r="AP244" s="1008">
        <f t="shared" si="147"/>
        <v>26</v>
      </c>
      <c r="AQ244" s="1009"/>
    </row>
    <row r="245" spans="1:43" ht="20.25">
      <c r="A245" s="1313"/>
      <c r="B245" s="1314"/>
      <c r="C245" s="525" t="s">
        <v>800</v>
      </c>
      <c r="D245" s="999">
        <v>1.3</v>
      </c>
      <c r="E245" s="1315"/>
      <c r="F245" s="925"/>
      <c r="G245" s="927">
        <f t="shared" si="144"/>
        <v>0</v>
      </c>
      <c r="H245" s="158"/>
      <c r="I245" s="928">
        <f t="shared" si="137"/>
        <v>0</v>
      </c>
      <c r="J245" s="925"/>
      <c r="K245" s="927">
        <f t="shared" si="138"/>
        <v>0</v>
      </c>
      <c r="L245" s="158">
        <v>1</v>
      </c>
      <c r="M245" s="928">
        <f t="shared" si="139"/>
        <v>1.3</v>
      </c>
      <c r="N245" s="925">
        <v>2</v>
      </c>
      <c r="O245" s="927">
        <f t="shared" si="126"/>
        <v>2.6</v>
      </c>
      <c r="P245" s="1316"/>
      <c r="Q245" s="928">
        <f t="shared" si="118"/>
        <v>0</v>
      </c>
      <c r="R245" s="925"/>
      <c r="S245" s="927">
        <f t="shared" si="131"/>
        <v>0</v>
      </c>
      <c r="T245" s="158"/>
      <c r="U245" s="928">
        <f t="shared" si="120"/>
        <v>0</v>
      </c>
      <c r="V245" s="925"/>
      <c r="W245" s="927">
        <f t="shared" si="121"/>
        <v>0</v>
      </c>
      <c r="X245" s="158"/>
      <c r="Y245" s="928">
        <f t="shared" si="122"/>
        <v>0</v>
      </c>
      <c r="Z245" s="925"/>
      <c r="AA245" s="927">
        <f t="shared" si="123"/>
        <v>0</v>
      </c>
      <c r="AB245" s="158"/>
      <c r="AC245" s="928">
        <f t="shared" si="124"/>
        <v>0</v>
      </c>
      <c r="AD245" s="844"/>
      <c r="AE245" s="845"/>
      <c r="AF245" s="1300"/>
      <c r="AG245" s="751"/>
      <c r="AH245" s="1015"/>
      <c r="AI245" s="1004">
        <f t="shared" si="142"/>
        <v>3.9000000000000004</v>
      </c>
      <c r="AJ245" s="1005">
        <f t="shared" si="133"/>
        <v>3</v>
      </c>
      <c r="AK245" s="1006">
        <v>18</v>
      </c>
      <c r="AL245" s="1007">
        <v>20</v>
      </c>
      <c r="AM245" s="1007"/>
      <c r="AN245" s="1007"/>
      <c r="AO245" s="1007"/>
      <c r="AP245" s="1008">
        <f t="shared" si="147"/>
        <v>35</v>
      </c>
      <c r="AQ245" s="1009"/>
    </row>
    <row r="246" spans="1:43" ht="20.25">
      <c r="A246" s="1313"/>
      <c r="B246" s="1314"/>
      <c r="C246" s="525" t="s">
        <v>801</v>
      </c>
      <c r="D246" s="999">
        <v>12.5</v>
      </c>
      <c r="E246" s="1315"/>
      <c r="F246" s="925"/>
      <c r="G246" s="927">
        <f t="shared" si="144"/>
        <v>0</v>
      </c>
      <c r="H246" s="158"/>
      <c r="I246" s="928">
        <f t="shared" si="137"/>
        <v>0</v>
      </c>
      <c r="J246" s="925"/>
      <c r="K246" s="927">
        <f t="shared" si="138"/>
        <v>0</v>
      </c>
      <c r="L246" s="158"/>
      <c r="M246" s="928">
        <f t="shared" si="139"/>
        <v>0</v>
      </c>
      <c r="N246" s="925"/>
      <c r="O246" s="927">
        <f t="shared" si="126"/>
        <v>0</v>
      </c>
      <c r="P246" s="1316">
        <v>2</v>
      </c>
      <c r="Q246" s="928">
        <f t="shared" si="118"/>
        <v>25</v>
      </c>
      <c r="R246" s="925"/>
      <c r="S246" s="927">
        <f t="shared" si="131"/>
        <v>0</v>
      </c>
      <c r="T246" s="158"/>
      <c r="U246" s="928">
        <f t="shared" si="120"/>
        <v>0</v>
      </c>
      <c r="V246" s="925"/>
      <c r="W246" s="927">
        <f t="shared" si="121"/>
        <v>0</v>
      </c>
      <c r="X246" s="158"/>
      <c r="Y246" s="928">
        <f t="shared" si="122"/>
        <v>0</v>
      </c>
      <c r="Z246" s="925"/>
      <c r="AA246" s="927">
        <f t="shared" si="123"/>
        <v>0</v>
      </c>
      <c r="AB246" s="158"/>
      <c r="AC246" s="928">
        <f t="shared" si="124"/>
        <v>0</v>
      </c>
      <c r="AD246" s="844"/>
      <c r="AE246" s="845"/>
      <c r="AF246" s="1300"/>
      <c r="AG246" s="751"/>
      <c r="AH246" s="1015"/>
      <c r="AI246" s="1004">
        <f t="shared" si="142"/>
        <v>25</v>
      </c>
      <c r="AJ246" s="1005">
        <f t="shared" si="133"/>
        <v>2</v>
      </c>
      <c r="AK246" s="1006">
        <v>10</v>
      </c>
      <c r="AL246" s="1007"/>
      <c r="AM246" s="1007">
        <v>4</v>
      </c>
      <c r="AN246" s="1007"/>
      <c r="AO246" s="1007"/>
      <c r="AP246" s="1008">
        <f t="shared" si="147"/>
        <v>4</v>
      </c>
      <c r="AQ246" s="1009"/>
    </row>
    <row r="247" spans="1:43" ht="20.25">
      <c r="A247" s="1313"/>
      <c r="B247" s="1314"/>
      <c r="C247" s="525" t="s">
        <v>320</v>
      </c>
      <c r="D247" s="999">
        <v>11.9</v>
      </c>
      <c r="E247" s="1315"/>
      <c r="F247" s="925"/>
      <c r="G247" s="927">
        <f t="shared" si="144"/>
        <v>0</v>
      </c>
      <c r="H247" s="158"/>
      <c r="I247" s="928">
        <f t="shared" si="137"/>
        <v>0</v>
      </c>
      <c r="J247" s="925"/>
      <c r="K247" s="927">
        <f t="shared" si="138"/>
        <v>0</v>
      </c>
      <c r="L247" s="158"/>
      <c r="M247" s="928">
        <f t="shared" si="139"/>
        <v>0</v>
      </c>
      <c r="N247" s="925"/>
      <c r="O247" s="927">
        <f t="shared" si="126"/>
        <v>0</v>
      </c>
      <c r="P247" s="1316">
        <v>1</v>
      </c>
      <c r="Q247" s="928">
        <f t="shared" si="118"/>
        <v>11.9</v>
      </c>
      <c r="R247" s="925"/>
      <c r="S247" s="927">
        <f t="shared" si="131"/>
        <v>0</v>
      </c>
      <c r="T247" s="158"/>
      <c r="U247" s="928">
        <f t="shared" si="120"/>
        <v>0</v>
      </c>
      <c r="V247" s="925"/>
      <c r="W247" s="927">
        <f t="shared" si="121"/>
        <v>0</v>
      </c>
      <c r="X247" s="158"/>
      <c r="Y247" s="928">
        <f t="shared" si="122"/>
        <v>0</v>
      </c>
      <c r="Z247" s="925"/>
      <c r="AA247" s="927">
        <f t="shared" si="123"/>
        <v>0</v>
      </c>
      <c r="AB247" s="158"/>
      <c r="AC247" s="928">
        <f t="shared" si="124"/>
        <v>0</v>
      </c>
      <c r="AD247" s="844"/>
      <c r="AE247" s="845"/>
      <c r="AF247" s="1300"/>
      <c r="AG247" s="751"/>
      <c r="AH247" s="1015"/>
      <c r="AI247" s="1004">
        <f t="shared" si="142"/>
        <v>11.9</v>
      </c>
      <c r="AJ247" s="1005">
        <f t="shared" si="133"/>
        <v>1</v>
      </c>
      <c r="AK247" s="1006">
        <v>3</v>
      </c>
      <c r="AL247" s="1007"/>
      <c r="AM247" s="1007"/>
      <c r="AN247" s="1007"/>
      <c r="AO247" s="1007"/>
      <c r="AP247" s="1008">
        <f t="shared" si="147"/>
        <v>2</v>
      </c>
      <c r="AQ247" s="1009"/>
    </row>
    <row r="248" spans="1:43" ht="20.25">
      <c r="A248" s="1313"/>
      <c r="B248" s="1314"/>
      <c r="C248" s="525" t="s">
        <v>221</v>
      </c>
      <c r="D248" s="999">
        <v>11.3</v>
      </c>
      <c r="E248" s="1315"/>
      <c r="F248" s="925"/>
      <c r="G248" s="927">
        <f t="shared" si="144"/>
        <v>0</v>
      </c>
      <c r="H248" s="158"/>
      <c r="I248" s="928">
        <f t="shared" si="137"/>
        <v>0</v>
      </c>
      <c r="J248" s="925"/>
      <c r="K248" s="927">
        <f t="shared" si="138"/>
        <v>0</v>
      </c>
      <c r="L248" s="158"/>
      <c r="M248" s="928">
        <f t="shared" si="139"/>
        <v>0</v>
      </c>
      <c r="N248" s="925"/>
      <c r="O248" s="927">
        <f t="shared" si="126"/>
        <v>0</v>
      </c>
      <c r="P248" s="1316"/>
      <c r="Q248" s="928">
        <f t="shared" si="118"/>
        <v>0</v>
      </c>
      <c r="R248" s="925"/>
      <c r="S248" s="927">
        <f t="shared" si="131"/>
        <v>0</v>
      </c>
      <c r="T248" s="158"/>
      <c r="U248" s="928">
        <f t="shared" si="120"/>
        <v>0</v>
      </c>
      <c r="V248" s="925"/>
      <c r="W248" s="927">
        <f t="shared" si="121"/>
        <v>0</v>
      </c>
      <c r="X248" s="158"/>
      <c r="Y248" s="928">
        <f t="shared" si="122"/>
        <v>0</v>
      </c>
      <c r="Z248" s="925"/>
      <c r="AA248" s="927">
        <f t="shared" si="123"/>
        <v>0</v>
      </c>
      <c r="AB248" s="158"/>
      <c r="AC248" s="928">
        <f t="shared" si="124"/>
        <v>0</v>
      </c>
      <c r="AD248" s="844"/>
      <c r="AE248" s="845"/>
      <c r="AF248" s="1300"/>
      <c r="AG248" s="751"/>
      <c r="AH248" s="1015"/>
      <c r="AI248" s="1004">
        <f t="shared" si="142"/>
        <v>0</v>
      </c>
      <c r="AJ248" s="1005">
        <f t="shared" si="133"/>
        <v>0</v>
      </c>
      <c r="AK248" s="1006">
        <v>0</v>
      </c>
      <c r="AL248" s="1007">
        <v>15</v>
      </c>
      <c r="AM248" s="1007">
        <v>15</v>
      </c>
      <c r="AN248" s="1007"/>
      <c r="AO248" s="1007"/>
      <c r="AP248" s="1008">
        <f t="shared" si="147"/>
        <v>0</v>
      </c>
      <c r="AQ248" s="1009"/>
    </row>
    <row r="249" spans="1:43" ht="20.25">
      <c r="A249" s="1313"/>
      <c r="B249" s="1314"/>
      <c r="C249" s="525" t="s">
        <v>802</v>
      </c>
      <c r="D249" s="999">
        <v>5</v>
      </c>
      <c r="E249" s="1315"/>
      <c r="F249" s="925">
        <v>1</v>
      </c>
      <c r="G249" s="927">
        <f t="shared" si="144"/>
        <v>5</v>
      </c>
      <c r="H249" s="158"/>
      <c r="I249" s="928">
        <f t="shared" si="137"/>
        <v>0</v>
      </c>
      <c r="J249" s="925"/>
      <c r="K249" s="927">
        <f t="shared" si="138"/>
        <v>0</v>
      </c>
      <c r="L249" s="158"/>
      <c r="M249" s="928">
        <f t="shared" si="139"/>
        <v>0</v>
      </c>
      <c r="N249" s="925"/>
      <c r="O249" s="927">
        <f t="shared" si="126"/>
        <v>0</v>
      </c>
      <c r="P249" s="1316"/>
      <c r="Q249" s="928">
        <f t="shared" si="118"/>
        <v>0</v>
      </c>
      <c r="R249" s="925"/>
      <c r="S249" s="927">
        <f t="shared" si="131"/>
        <v>0</v>
      </c>
      <c r="T249" s="158"/>
      <c r="U249" s="928">
        <f t="shared" si="120"/>
        <v>0</v>
      </c>
      <c r="V249" s="925"/>
      <c r="W249" s="927">
        <f t="shared" si="121"/>
        <v>0</v>
      </c>
      <c r="X249" s="158"/>
      <c r="Y249" s="928">
        <f t="shared" si="122"/>
        <v>0</v>
      </c>
      <c r="Z249" s="925"/>
      <c r="AA249" s="927">
        <f t="shared" si="123"/>
        <v>0</v>
      </c>
      <c r="AB249" s="158"/>
      <c r="AC249" s="928">
        <f t="shared" si="124"/>
        <v>0</v>
      </c>
      <c r="AD249" s="844"/>
      <c r="AE249" s="845"/>
      <c r="AF249" s="1300"/>
      <c r="AG249" s="751"/>
      <c r="AH249" s="1015"/>
      <c r="AI249" s="1004">
        <f t="shared" si="142"/>
        <v>5</v>
      </c>
      <c r="AJ249" s="1005">
        <f t="shared" si="133"/>
        <v>1</v>
      </c>
      <c r="AK249" s="1006">
        <f>15+9</f>
        <v>24</v>
      </c>
      <c r="AL249" s="1007"/>
      <c r="AM249" s="1007">
        <v>5</v>
      </c>
      <c r="AN249" s="1007"/>
      <c r="AO249" s="1007"/>
      <c r="AP249" s="1008">
        <f t="shared" si="147"/>
        <v>18</v>
      </c>
      <c r="AQ249" s="1009"/>
    </row>
    <row r="250" spans="1:43" ht="20.25">
      <c r="A250" s="1313"/>
      <c r="B250" s="1314"/>
      <c r="C250" s="525" t="s">
        <v>321</v>
      </c>
      <c r="D250" s="999">
        <v>6.5</v>
      </c>
      <c r="E250" s="1315"/>
      <c r="F250" s="925"/>
      <c r="G250" s="927">
        <f t="shared" si="144"/>
        <v>0</v>
      </c>
      <c r="H250" s="158">
        <v>1</v>
      </c>
      <c r="I250" s="928">
        <f t="shared" si="137"/>
        <v>6.5</v>
      </c>
      <c r="J250" s="925"/>
      <c r="K250" s="927">
        <f t="shared" si="138"/>
        <v>0</v>
      </c>
      <c r="L250" s="158"/>
      <c r="M250" s="928">
        <f t="shared" si="139"/>
        <v>0</v>
      </c>
      <c r="N250" s="925"/>
      <c r="O250" s="927">
        <f t="shared" si="126"/>
        <v>0</v>
      </c>
      <c r="P250" s="1316"/>
      <c r="Q250" s="928">
        <f t="shared" si="118"/>
        <v>0</v>
      </c>
      <c r="R250" s="925"/>
      <c r="S250" s="927">
        <f t="shared" si="131"/>
        <v>0</v>
      </c>
      <c r="T250" s="158"/>
      <c r="U250" s="928">
        <f t="shared" si="120"/>
        <v>0</v>
      </c>
      <c r="V250" s="925"/>
      <c r="W250" s="927">
        <f t="shared" si="121"/>
        <v>0</v>
      </c>
      <c r="X250" s="158"/>
      <c r="Y250" s="928">
        <f t="shared" si="122"/>
        <v>0</v>
      </c>
      <c r="Z250" s="925"/>
      <c r="AA250" s="927">
        <f t="shared" si="123"/>
        <v>0</v>
      </c>
      <c r="AB250" s="158"/>
      <c r="AC250" s="928">
        <f t="shared" si="124"/>
        <v>0</v>
      </c>
      <c r="AD250" s="844"/>
      <c r="AE250" s="845"/>
      <c r="AF250" s="1300"/>
      <c r="AG250" s="751"/>
      <c r="AH250" s="1015"/>
      <c r="AI250" s="1004">
        <f t="shared" si="142"/>
        <v>6.5</v>
      </c>
      <c r="AJ250" s="1005">
        <f t="shared" si="133"/>
        <v>1</v>
      </c>
      <c r="AK250" s="1006">
        <v>10</v>
      </c>
      <c r="AL250" s="1007"/>
      <c r="AM250" s="1007"/>
      <c r="AN250" s="1007"/>
      <c r="AO250" s="1007"/>
      <c r="AP250" s="1008">
        <f t="shared" si="147"/>
        <v>9</v>
      </c>
      <c r="AQ250" s="1009"/>
    </row>
    <row r="251" spans="1:43" ht="20.25">
      <c r="A251" s="1313"/>
      <c r="B251" s="1314"/>
      <c r="C251" s="1317" t="s">
        <v>322</v>
      </c>
      <c r="D251" s="1318">
        <v>9.5</v>
      </c>
      <c r="E251" s="1315"/>
      <c r="F251" s="925"/>
      <c r="G251" s="927">
        <f t="shared" si="144"/>
        <v>0</v>
      </c>
      <c r="H251" s="158"/>
      <c r="I251" s="928">
        <f t="shared" si="137"/>
        <v>0</v>
      </c>
      <c r="J251" s="925"/>
      <c r="K251" s="927">
        <f t="shared" si="138"/>
        <v>0</v>
      </c>
      <c r="L251" s="158"/>
      <c r="M251" s="928">
        <f t="shared" si="139"/>
        <v>0</v>
      </c>
      <c r="N251" s="925"/>
      <c r="O251" s="927">
        <f t="shared" si="126"/>
        <v>0</v>
      </c>
      <c r="P251" s="1316">
        <v>1</v>
      </c>
      <c r="Q251" s="928">
        <f t="shared" si="118"/>
        <v>9.5</v>
      </c>
      <c r="R251" s="925"/>
      <c r="S251" s="927">
        <f t="shared" si="131"/>
        <v>0</v>
      </c>
      <c r="T251" s="158"/>
      <c r="U251" s="928">
        <f t="shared" si="120"/>
        <v>0</v>
      </c>
      <c r="V251" s="925"/>
      <c r="W251" s="927">
        <f t="shared" si="121"/>
        <v>0</v>
      </c>
      <c r="X251" s="158"/>
      <c r="Y251" s="928">
        <f t="shared" si="122"/>
        <v>0</v>
      </c>
      <c r="Z251" s="925"/>
      <c r="AA251" s="927">
        <f t="shared" si="123"/>
        <v>0</v>
      </c>
      <c r="AB251" s="158"/>
      <c r="AC251" s="928">
        <f t="shared" si="124"/>
        <v>0</v>
      </c>
      <c r="AD251" s="844"/>
      <c r="AE251" s="845"/>
      <c r="AF251" s="1300"/>
      <c r="AG251" s="751"/>
      <c r="AH251" s="1015"/>
      <c r="AI251" s="1004">
        <f t="shared" si="142"/>
        <v>9.5</v>
      </c>
      <c r="AJ251" s="1005">
        <f t="shared" si="133"/>
        <v>1</v>
      </c>
      <c r="AK251" s="1006">
        <v>16</v>
      </c>
      <c r="AL251" s="1007"/>
      <c r="AM251" s="1007">
        <v>10</v>
      </c>
      <c r="AN251" s="1007"/>
      <c r="AO251" s="1007"/>
      <c r="AP251" s="1008">
        <f t="shared" si="147"/>
        <v>5</v>
      </c>
      <c r="AQ251" s="1009"/>
    </row>
    <row r="252" spans="1:43" ht="21.75">
      <c r="A252" s="1313"/>
      <c r="B252" s="1314"/>
      <c r="C252" s="1319" t="s">
        <v>261</v>
      </c>
      <c r="D252" s="1318">
        <v>5</v>
      </c>
      <c r="E252" s="1315"/>
      <c r="F252" s="925"/>
      <c r="G252" s="927">
        <f t="shared" si="144"/>
        <v>0</v>
      </c>
      <c r="H252" s="158">
        <v>1</v>
      </c>
      <c r="I252" s="928">
        <f t="shared" si="137"/>
        <v>5</v>
      </c>
      <c r="J252" s="925"/>
      <c r="K252" s="927">
        <f t="shared" si="138"/>
        <v>0</v>
      </c>
      <c r="L252" s="158"/>
      <c r="M252" s="928">
        <f t="shared" si="139"/>
        <v>0</v>
      </c>
      <c r="N252" s="925">
        <v>1</v>
      </c>
      <c r="O252" s="927">
        <f t="shared" si="126"/>
        <v>5</v>
      </c>
      <c r="P252" s="1316"/>
      <c r="Q252" s="928">
        <f t="shared" si="118"/>
        <v>0</v>
      </c>
      <c r="R252" s="925"/>
      <c r="S252" s="927">
        <f t="shared" si="131"/>
        <v>0</v>
      </c>
      <c r="T252" s="158"/>
      <c r="U252" s="928">
        <f t="shared" si="120"/>
        <v>0</v>
      </c>
      <c r="V252" s="925"/>
      <c r="W252" s="927">
        <f t="shared" si="121"/>
        <v>0</v>
      </c>
      <c r="X252" s="158"/>
      <c r="Y252" s="928">
        <f t="shared" si="122"/>
        <v>0</v>
      </c>
      <c r="Z252" s="925"/>
      <c r="AA252" s="927">
        <f t="shared" si="123"/>
        <v>0</v>
      </c>
      <c r="AB252" s="158"/>
      <c r="AC252" s="928">
        <f t="shared" si="124"/>
        <v>0</v>
      </c>
      <c r="AD252" s="844"/>
      <c r="AE252" s="845"/>
      <c r="AF252" s="1300"/>
      <c r="AG252" s="751"/>
      <c r="AH252" s="1015"/>
      <c r="AI252" s="1058">
        <f t="shared" si="142"/>
        <v>10</v>
      </c>
      <c r="AJ252" s="1040">
        <f t="shared" si="133"/>
        <v>2</v>
      </c>
      <c r="AK252" s="1041">
        <f>25</f>
        <v>25</v>
      </c>
      <c r="AL252" s="1042">
        <v>20</v>
      </c>
      <c r="AM252" s="1042">
        <v>12</v>
      </c>
      <c r="AN252" s="1042"/>
      <c r="AO252" s="1042"/>
      <c r="AP252" s="1043">
        <f>(AK252+AL252)-AJ252-AM252</f>
        <v>31</v>
      </c>
      <c r="AQ252" s="1044"/>
    </row>
    <row r="253" spans="1:43" ht="21.75">
      <c r="A253" s="1320"/>
      <c r="B253" s="1321"/>
      <c r="C253" s="1322" t="s">
        <v>618</v>
      </c>
      <c r="D253" s="1323"/>
      <c r="E253" s="941"/>
      <c r="F253" s="952">
        <f>SUM(F4:F252)</f>
        <v>16</v>
      </c>
      <c r="G253" s="948">
        <f>SUM(G4:G252)</f>
        <v>65.4</v>
      </c>
      <c r="H253" s="949">
        <f>SUM(H4:H252)</f>
        <v>67</v>
      </c>
      <c r="I253" s="950">
        <f>SUM(I4:I252)</f>
        <v>321.3</v>
      </c>
      <c r="J253" s="952">
        <f>SUM(J4:J252)</f>
        <v>59</v>
      </c>
      <c r="K253" s="948">
        <f>SUM(K4:K252)</f>
        <v>360.4</v>
      </c>
      <c r="L253" s="949">
        <f>SUM(L4:L252)</f>
        <v>12</v>
      </c>
      <c r="M253" s="950">
        <f>SUM(M4:M252)</f>
        <v>90.1</v>
      </c>
      <c r="N253" s="952">
        <f>SUM(N4:N252)</f>
        <v>66</v>
      </c>
      <c r="O253" s="948">
        <f>SUM(O4:O252)</f>
        <v>271.2</v>
      </c>
      <c r="P253" s="1324">
        <f>SUM(P4:P252)</f>
        <v>57</v>
      </c>
      <c r="Q253" s="950">
        <f>SUM(Q4:Q252)</f>
        <v>524.4</v>
      </c>
      <c r="R253" s="952">
        <f>SUM(R4:R252)</f>
        <v>0</v>
      </c>
      <c r="S253" s="948">
        <f>SUM(S4:S252)</f>
        <v>0</v>
      </c>
      <c r="T253" s="949">
        <f>SUM(T4:T252)</f>
        <v>0</v>
      </c>
      <c r="U253" s="951">
        <f>SUM(U4:U252)</f>
        <v>0</v>
      </c>
      <c r="V253" s="952">
        <f>SUM(V4:V252)</f>
        <v>0</v>
      </c>
      <c r="W253" s="948">
        <f>SUM(W4:W252)</f>
        <v>0</v>
      </c>
      <c r="X253" s="949">
        <f>SUM(X4:X252)</f>
        <v>0</v>
      </c>
      <c r="Y253" s="950">
        <f>SUM(Y4:Y252)</f>
        <v>0</v>
      </c>
      <c r="Z253" s="952">
        <f>SUM(Z4:Z252)</f>
        <v>0</v>
      </c>
      <c r="AA253" s="948">
        <f>SUM(AA4:AA252)</f>
        <v>0</v>
      </c>
      <c r="AB253" s="949">
        <f>SUM(AB4:AB252)</f>
        <v>0</v>
      </c>
      <c r="AC253" s="950">
        <f>SUM(AC4:AC252)</f>
        <v>0</v>
      </c>
      <c r="AD253" s="953"/>
      <c r="AE253" s="954"/>
      <c r="AF253" s="954"/>
      <c r="AG253" s="1325"/>
      <c r="AH253" s="1326">
        <f>SUM(AH4:AH252)</f>
        <v>432.39935</v>
      </c>
      <c r="AI253" s="1267">
        <f>SUM(AI4:AI252)</f>
        <v>1598.3</v>
      </c>
      <c r="AJ253" s="1268">
        <f>SUM(AJ4:AJ252)</f>
        <v>276</v>
      </c>
      <c r="AK253" s="1327"/>
      <c r="AL253" s="1270"/>
      <c r="AM253" s="1270"/>
      <c r="AN253" s="1270"/>
      <c r="AO253" s="1270"/>
      <c r="AP253" s="1271"/>
      <c r="AQ253" s="1328"/>
    </row>
    <row r="254" ht="13.5"/>
    <row r="255" spans="6:29" ht="12.75">
      <c r="F255" t="s">
        <v>803</v>
      </c>
      <c r="G255" t="s">
        <v>804</v>
      </c>
      <c r="H255" t="s">
        <v>805</v>
      </c>
      <c r="I255" t="s">
        <v>806</v>
      </c>
      <c r="K255" t="s">
        <v>807</v>
      </c>
      <c r="M255" t="s">
        <v>808</v>
      </c>
      <c r="O255" t="s">
        <v>807</v>
      </c>
      <c r="Q255" t="s">
        <v>804</v>
      </c>
      <c r="S255" t="s">
        <v>809</v>
      </c>
      <c r="U255" t="s">
        <v>808</v>
      </c>
      <c r="W255" t="s">
        <v>810</v>
      </c>
      <c r="Y255" t="s">
        <v>811</v>
      </c>
      <c r="AA255" t="s">
        <v>812</v>
      </c>
      <c r="AC255" t="s">
        <v>813</v>
      </c>
    </row>
    <row r="256" ht="36.75" customHeight="1">
      <c r="H256" s="1329" t="s">
        <v>814</v>
      </c>
    </row>
    <row r="257" spans="8:14" ht="42" customHeight="1">
      <c r="H257" s="1329" t="s">
        <v>815</v>
      </c>
      <c r="N257" s="307"/>
    </row>
  </sheetData>
  <sheetProtection selectLockedCells="1" selectUnlockedCells="1"/>
  <mergeCells count="65">
    <mergeCell ref="A2:C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4:A48"/>
    <mergeCell ref="B4:B6"/>
    <mergeCell ref="AF4:AF17"/>
    <mergeCell ref="B7:B9"/>
    <mergeCell ref="B11:B12"/>
    <mergeCell ref="B13:B15"/>
    <mergeCell ref="B16:B17"/>
    <mergeCell ref="B18:B29"/>
    <mergeCell ref="AF18:AF29"/>
    <mergeCell ref="B30:B36"/>
    <mergeCell ref="AF30:AF32"/>
    <mergeCell ref="AQ30:AQ32"/>
    <mergeCell ref="B37:B38"/>
    <mergeCell ref="B39:B40"/>
    <mergeCell ref="B41:B44"/>
    <mergeCell ref="AF41:AF48"/>
    <mergeCell ref="A49:A127"/>
    <mergeCell ref="B49:B52"/>
    <mergeCell ref="AF49:AF155"/>
    <mergeCell ref="B54:B93"/>
    <mergeCell ref="B94:B97"/>
    <mergeCell ref="B98:B114"/>
    <mergeCell ref="B115:B124"/>
    <mergeCell ref="B125:B127"/>
    <mergeCell ref="A128:A142"/>
    <mergeCell ref="B128:B138"/>
    <mergeCell ref="A143:A155"/>
    <mergeCell ref="B143:B155"/>
    <mergeCell ref="A156:A193"/>
    <mergeCell ref="B191:B193"/>
    <mergeCell ref="A194:A207"/>
    <mergeCell ref="B194:B203"/>
    <mergeCell ref="AF194:AF203"/>
    <mergeCell ref="B204:B206"/>
    <mergeCell ref="A208:A209"/>
    <mergeCell ref="B208:B209"/>
    <mergeCell ref="A211:A217"/>
    <mergeCell ref="B211:B214"/>
    <mergeCell ref="AF211:AF217"/>
    <mergeCell ref="B215:B217"/>
    <mergeCell ref="A219:A227"/>
    <mergeCell ref="B219:B227"/>
    <mergeCell ref="AF219:AF227"/>
    <mergeCell ref="A228:A235"/>
    <mergeCell ref="B228:B235"/>
    <mergeCell ref="AF228:AF234"/>
    <mergeCell ref="A236:A237"/>
    <mergeCell ref="B236:B237"/>
    <mergeCell ref="A238:A240"/>
    <mergeCell ref="B238:B240"/>
    <mergeCell ref="A241:A252"/>
    <mergeCell ref="B241:B25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68"/>
  <sheetViews>
    <sheetView tabSelected="1" workbookViewId="0" topLeftCell="A1">
      <selection activeCell="D163" sqref="D163"/>
    </sheetView>
  </sheetViews>
  <sheetFormatPr defaultColWidth="9.140625" defaultRowHeight="12.75"/>
  <cols>
    <col min="1" max="1" width="11.00390625" style="0" customWidth="1"/>
    <col min="2" max="2" width="21.421875" style="0" customWidth="1"/>
    <col min="3" max="3" width="30.28125" style="0" customWidth="1"/>
    <col min="4" max="4" width="11.00390625" style="0" customWidth="1"/>
    <col min="5" max="33" width="11.421875" style="0" customWidth="1"/>
    <col min="34" max="34" width="11.00390625" style="0" customWidth="1"/>
    <col min="35" max="35" width="11.00390625" style="0" hidden="1" customWidth="1"/>
    <col min="36" max="16384" width="11.00390625" style="0" customWidth="1"/>
  </cols>
  <sheetData>
    <row r="1" spans="2:28" ht="27.75">
      <c r="B1" s="1330" t="s">
        <v>816</v>
      </c>
      <c r="C1" s="1330"/>
      <c r="D1" s="1331">
        <v>2021</v>
      </c>
      <c r="E1" s="1332" t="s">
        <v>0</v>
      </c>
      <c r="F1" s="1332"/>
      <c r="G1" s="1332" t="s">
        <v>1</v>
      </c>
      <c r="H1" s="1332"/>
      <c r="I1" s="1332" t="s">
        <v>2</v>
      </c>
      <c r="J1" s="1332"/>
      <c r="K1" s="1332" t="s">
        <v>3</v>
      </c>
      <c r="L1" s="1332"/>
      <c r="M1" s="1332" t="s">
        <v>4</v>
      </c>
      <c r="N1" s="1332"/>
      <c r="O1" s="1333" t="s">
        <v>5</v>
      </c>
      <c r="P1" s="1333"/>
      <c r="Q1" s="1334" t="s">
        <v>6</v>
      </c>
      <c r="R1" s="1334"/>
      <c r="S1" s="1332" t="s">
        <v>150</v>
      </c>
      <c r="T1" s="1332"/>
      <c r="U1" s="1335" t="s">
        <v>8</v>
      </c>
      <c r="V1" s="1335"/>
      <c r="W1" s="1333" t="s">
        <v>9</v>
      </c>
      <c r="X1" s="1333"/>
      <c r="Y1" s="1335" t="s">
        <v>10</v>
      </c>
      <c r="Z1" s="1335"/>
      <c r="AA1" s="1333" t="s">
        <v>11</v>
      </c>
      <c r="AB1" s="1333"/>
    </row>
    <row r="2" spans="2:37" ht="93.75">
      <c r="B2" s="1336" t="s">
        <v>24</v>
      </c>
      <c r="C2" s="1337" t="s">
        <v>495</v>
      </c>
      <c r="D2" s="1338" t="s">
        <v>817</v>
      </c>
      <c r="E2" s="612" t="s">
        <v>497</v>
      </c>
      <c r="F2" s="611" t="s">
        <v>498</v>
      </c>
      <c r="G2" s="1339" t="s">
        <v>497</v>
      </c>
      <c r="H2" s="611" t="s">
        <v>499</v>
      </c>
      <c r="I2" s="612" t="s">
        <v>497</v>
      </c>
      <c r="J2" s="611" t="s">
        <v>500</v>
      </c>
      <c r="K2" s="612" t="s">
        <v>497</v>
      </c>
      <c r="L2" s="611" t="s">
        <v>501</v>
      </c>
      <c r="M2" s="612" t="s">
        <v>497</v>
      </c>
      <c r="N2" s="611" t="s">
        <v>502</v>
      </c>
      <c r="O2" s="612" t="s">
        <v>497</v>
      </c>
      <c r="P2" s="611" t="s">
        <v>503</v>
      </c>
      <c r="Q2" s="612" t="s">
        <v>497</v>
      </c>
      <c r="R2" s="613" t="s">
        <v>504</v>
      </c>
      <c r="S2" s="612" t="s">
        <v>497</v>
      </c>
      <c r="T2" s="611" t="s">
        <v>505</v>
      </c>
      <c r="U2" s="610" t="s">
        <v>497</v>
      </c>
      <c r="V2" s="613" t="s">
        <v>506</v>
      </c>
      <c r="W2" s="612" t="s">
        <v>497</v>
      </c>
      <c r="X2" s="611" t="s">
        <v>507</v>
      </c>
      <c r="Y2" s="610" t="s">
        <v>508</v>
      </c>
      <c r="Z2" s="613" t="s">
        <v>509</v>
      </c>
      <c r="AA2" s="976" t="s">
        <v>497</v>
      </c>
      <c r="AB2" s="615" t="s">
        <v>510</v>
      </c>
      <c r="AC2" s="1340" t="s">
        <v>818</v>
      </c>
      <c r="AD2" s="1341" t="s">
        <v>513</v>
      </c>
      <c r="AE2" s="1342" t="s">
        <v>624</v>
      </c>
      <c r="AF2" s="1343" t="s">
        <v>515</v>
      </c>
      <c r="AG2" s="1344" t="s">
        <v>516</v>
      </c>
      <c r="AH2" s="1345" t="s">
        <v>517</v>
      </c>
      <c r="AJ2" s="1346" t="s">
        <v>819</v>
      </c>
      <c r="AK2" s="1347" t="s">
        <v>820</v>
      </c>
    </row>
    <row r="3" spans="2:37" ht="21" customHeight="1">
      <c r="B3" s="1348" t="s">
        <v>821</v>
      </c>
      <c r="C3" s="246" t="s">
        <v>822</v>
      </c>
      <c r="D3" s="538">
        <v>5</v>
      </c>
      <c r="E3" s="1349"/>
      <c r="F3" s="1350">
        <f aca="true" t="shared" si="0" ref="F3:F46">E3*D3</f>
        <v>0</v>
      </c>
      <c r="G3" s="1349"/>
      <c r="H3" s="1350">
        <f aca="true" t="shared" si="1" ref="H3:H166">G3*D3</f>
        <v>0</v>
      </c>
      <c r="I3" s="1349"/>
      <c r="J3" s="1350">
        <f aca="true" t="shared" si="2" ref="J3:J166">I3*D3</f>
        <v>0</v>
      </c>
      <c r="K3" s="1349"/>
      <c r="L3" s="1350">
        <f aca="true" t="shared" si="3" ref="L3:L166">K3*D3</f>
        <v>0</v>
      </c>
      <c r="M3" s="1349"/>
      <c r="N3" s="1350">
        <f aca="true" t="shared" si="4" ref="N3:N166">M3*D3</f>
        <v>0</v>
      </c>
      <c r="O3" s="1349"/>
      <c r="P3" s="1350">
        <f aca="true" t="shared" si="5" ref="P3:P166">O3*D3</f>
        <v>0</v>
      </c>
      <c r="Q3" s="1349"/>
      <c r="R3" s="1351">
        <f aca="true" t="shared" si="6" ref="R3:R166">Q3*D3</f>
        <v>0</v>
      </c>
      <c r="S3" s="1349"/>
      <c r="T3" s="1350">
        <f aca="true" t="shared" si="7" ref="T3:T166">S3*D3</f>
        <v>0</v>
      </c>
      <c r="U3" s="1352"/>
      <c r="V3" s="1351">
        <f aca="true" t="shared" si="8" ref="V3:V166">U3*D3</f>
        <v>0</v>
      </c>
      <c r="W3" s="1349"/>
      <c r="X3" s="1350">
        <f aca="true" t="shared" si="9" ref="X3:X166">W3*D3</f>
        <v>0</v>
      </c>
      <c r="Y3" s="1352"/>
      <c r="Z3" s="1351">
        <f aca="true" t="shared" si="10" ref="Z3:Z166">Y3*D3</f>
        <v>0</v>
      </c>
      <c r="AA3" s="1349"/>
      <c r="AB3" s="1350">
        <f aca="true" t="shared" si="11" ref="AB3:AB166">AA3*D3</f>
        <v>0</v>
      </c>
      <c r="AC3" s="1353"/>
      <c r="AD3" s="1354">
        <v>0.2</v>
      </c>
      <c r="AE3" s="1206">
        <f aca="true" t="shared" si="12" ref="AE3:AE11">D3-AC3</f>
        <v>5</v>
      </c>
      <c r="AF3" s="1355">
        <f aca="true" t="shared" si="13" ref="AF3:AF11">AE3*AH3</f>
        <v>0</v>
      </c>
      <c r="AG3" s="1356">
        <f aca="true" t="shared" si="14" ref="AG3:AG166">AB3+Z3+X3+V3+T3+R3+P3+N3+L3+J3+H3+F3</f>
        <v>0</v>
      </c>
      <c r="AH3" s="804">
        <f aca="true" t="shared" si="15" ref="AH3:AH21">AA3+Y3+W3+U3+S3+Q3+O3+M3+K3+I3+G3+E3</f>
        <v>0</v>
      </c>
      <c r="AJ3" s="1357">
        <v>0</v>
      </c>
      <c r="AK3" s="1358"/>
    </row>
    <row r="4" spans="2:37" ht="20.25">
      <c r="B4" s="1348"/>
      <c r="C4" s="1359" t="s">
        <v>823</v>
      </c>
      <c r="D4" s="1360">
        <v>5</v>
      </c>
      <c r="E4" s="1361"/>
      <c r="F4" s="1362">
        <f t="shared" si="0"/>
        <v>0</v>
      </c>
      <c r="G4" s="1361"/>
      <c r="H4" s="1362">
        <f t="shared" si="1"/>
        <v>0</v>
      </c>
      <c r="I4" s="1361"/>
      <c r="J4" s="1362">
        <f t="shared" si="2"/>
        <v>0</v>
      </c>
      <c r="K4" s="1361"/>
      <c r="L4" s="1362">
        <f t="shared" si="3"/>
        <v>0</v>
      </c>
      <c r="M4" s="1361"/>
      <c r="N4" s="1362">
        <f t="shared" si="4"/>
        <v>0</v>
      </c>
      <c r="O4" s="1361"/>
      <c r="P4" s="1362">
        <f t="shared" si="5"/>
        <v>0</v>
      </c>
      <c r="Q4" s="1361"/>
      <c r="R4" s="1363">
        <f t="shared" si="6"/>
        <v>0</v>
      </c>
      <c r="S4" s="1361"/>
      <c r="T4" s="1362">
        <f t="shared" si="7"/>
        <v>0</v>
      </c>
      <c r="U4" s="1364"/>
      <c r="V4" s="1363">
        <f t="shared" si="8"/>
        <v>0</v>
      </c>
      <c r="W4" s="1361"/>
      <c r="X4" s="1362">
        <f t="shared" si="9"/>
        <v>0</v>
      </c>
      <c r="Y4" s="1364"/>
      <c r="Z4" s="1363">
        <f t="shared" si="10"/>
        <v>0</v>
      </c>
      <c r="AA4" s="1361"/>
      <c r="AB4" s="1362">
        <f t="shared" si="11"/>
        <v>0</v>
      </c>
      <c r="AC4" s="1365"/>
      <c r="AD4" s="1354"/>
      <c r="AE4" s="662">
        <f t="shared" si="12"/>
        <v>5</v>
      </c>
      <c r="AF4" s="663">
        <f t="shared" si="13"/>
        <v>0</v>
      </c>
      <c r="AG4" s="664">
        <f t="shared" si="14"/>
        <v>0</v>
      </c>
      <c r="AH4" s="665">
        <f t="shared" si="15"/>
        <v>0</v>
      </c>
      <c r="AJ4" s="1357">
        <v>0</v>
      </c>
      <c r="AK4" s="1358"/>
    </row>
    <row r="5" spans="2:37" ht="20.25">
      <c r="B5" s="1348"/>
      <c r="C5" s="259" t="s">
        <v>824</v>
      </c>
      <c r="D5" s="1360">
        <v>7</v>
      </c>
      <c r="E5" s="1361"/>
      <c r="F5" s="1362">
        <f t="shared" si="0"/>
        <v>0</v>
      </c>
      <c r="G5" s="1361"/>
      <c r="H5" s="1362">
        <f t="shared" si="1"/>
        <v>0</v>
      </c>
      <c r="I5" s="1361"/>
      <c r="J5" s="1362">
        <f t="shared" si="2"/>
        <v>0</v>
      </c>
      <c r="K5" s="1361"/>
      <c r="L5" s="1362">
        <f t="shared" si="3"/>
        <v>0</v>
      </c>
      <c r="M5" s="1361"/>
      <c r="N5" s="1362">
        <f t="shared" si="4"/>
        <v>0</v>
      </c>
      <c r="O5" s="1361"/>
      <c r="P5" s="1362">
        <f t="shared" si="5"/>
        <v>0</v>
      </c>
      <c r="Q5" s="1361"/>
      <c r="R5" s="1363">
        <f t="shared" si="6"/>
        <v>0</v>
      </c>
      <c r="S5" s="1361"/>
      <c r="T5" s="1362">
        <f t="shared" si="7"/>
        <v>0</v>
      </c>
      <c r="U5" s="1364"/>
      <c r="V5" s="1363">
        <f t="shared" si="8"/>
        <v>0</v>
      </c>
      <c r="W5" s="1361"/>
      <c r="X5" s="1362">
        <f t="shared" si="9"/>
        <v>0</v>
      </c>
      <c r="Y5" s="1364"/>
      <c r="Z5" s="1363">
        <f t="shared" si="10"/>
        <v>0</v>
      </c>
      <c r="AA5" s="1361"/>
      <c r="AB5" s="1362">
        <f t="shared" si="11"/>
        <v>0</v>
      </c>
      <c r="AC5" s="1365"/>
      <c r="AD5" s="1354"/>
      <c r="AE5" s="662">
        <f t="shared" si="12"/>
        <v>7</v>
      </c>
      <c r="AF5" s="663">
        <f t="shared" si="13"/>
        <v>0</v>
      </c>
      <c r="AG5" s="664">
        <f t="shared" si="14"/>
        <v>0</v>
      </c>
      <c r="AH5" s="665">
        <f t="shared" si="15"/>
        <v>0</v>
      </c>
      <c r="AJ5" s="1357">
        <v>15</v>
      </c>
      <c r="AK5" s="1358"/>
    </row>
    <row r="6" spans="2:37" ht="20.25">
      <c r="B6" s="1348"/>
      <c r="C6" s="259" t="s">
        <v>87</v>
      </c>
      <c r="D6" s="1360">
        <v>7</v>
      </c>
      <c r="E6" s="1361"/>
      <c r="F6" s="1362">
        <f t="shared" si="0"/>
        <v>0</v>
      </c>
      <c r="G6" s="1361"/>
      <c r="H6" s="1362">
        <f t="shared" si="1"/>
        <v>0</v>
      </c>
      <c r="I6" s="1361"/>
      <c r="J6" s="1362">
        <f t="shared" si="2"/>
        <v>0</v>
      </c>
      <c r="K6" s="1361"/>
      <c r="L6" s="1362">
        <f t="shared" si="3"/>
        <v>0</v>
      </c>
      <c r="M6" s="1361"/>
      <c r="N6" s="1362">
        <f t="shared" si="4"/>
        <v>0</v>
      </c>
      <c r="O6" s="1361"/>
      <c r="P6" s="1362">
        <f t="shared" si="5"/>
        <v>0</v>
      </c>
      <c r="Q6" s="1361"/>
      <c r="R6" s="1363">
        <f t="shared" si="6"/>
        <v>0</v>
      </c>
      <c r="S6" s="1361"/>
      <c r="T6" s="1362">
        <f t="shared" si="7"/>
        <v>0</v>
      </c>
      <c r="U6" s="1364"/>
      <c r="V6" s="1363">
        <f t="shared" si="8"/>
        <v>0</v>
      </c>
      <c r="W6" s="1361"/>
      <c r="X6" s="1362">
        <f t="shared" si="9"/>
        <v>0</v>
      </c>
      <c r="Y6" s="1364"/>
      <c r="Z6" s="1363">
        <f t="shared" si="10"/>
        <v>0</v>
      </c>
      <c r="AA6" s="1361"/>
      <c r="AB6" s="1362">
        <f t="shared" si="11"/>
        <v>0</v>
      </c>
      <c r="AC6" s="1365"/>
      <c r="AD6" s="1354"/>
      <c r="AE6" s="662">
        <f t="shared" si="12"/>
        <v>7</v>
      </c>
      <c r="AF6" s="663">
        <f t="shared" si="13"/>
        <v>0</v>
      </c>
      <c r="AG6" s="664">
        <f t="shared" si="14"/>
        <v>0</v>
      </c>
      <c r="AH6" s="665">
        <f t="shared" si="15"/>
        <v>0</v>
      </c>
      <c r="AJ6" s="1357">
        <v>3</v>
      </c>
      <c r="AK6" s="1358"/>
    </row>
    <row r="7" spans="2:37" ht="20.25">
      <c r="B7" s="1348"/>
      <c r="C7" s="259" t="s">
        <v>88</v>
      </c>
      <c r="D7" s="1360">
        <v>7</v>
      </c>
      <c r="E7" s="1361"/>
      <c r="F7" s="1362">
        <f t="shared" si="0"/>
        <v>0</v>
      </c>
      <c r="G7" s="1361"/>
      <c r="H7" s="1362">
        <f t="shared" si="1"/>
        <v>0</v>
      </c>
      <c r="I7" s="1361"/>
      <c r="J7" s="1362">
        <f t="shared" si="2"/>
        <v>0</v>
      </c>
      <c r="K7" s="1361"/>
      <c r="L7" s="1362">
        <f t="shared" si="3"/>
        <v>0</v>
      </c>
      <c r="M7" s="1361"/>
      <c r="N7" s="1362">
        <f t="shared" si="4"/>
        <v>0</v>
      </c>
      <c r="O7" s="1361"/>
      <c r="P7" s="1362">
        <f t="shared" si="5"/>
        <v>0</v>
      </c>
      <c r="Q7" s="1361"/>
      <c r="R7" s="1363">
        <f t="shared" si="6"/>
        <v>0</v>
      </c>
      <c r="S7" s="1361"/>
      <c r="T7" s="1362">
        <f t="shared" si="7"/>
        <v>0</v>
      </c>
      <c r="U7" s="1364"/>
      <c r="V7" s="1363">
        <f t="shared" si="8"/>
        <v>0</v>
      </c>
      <c r="W7" s="1361"/>
      <c r="X7" s="1362">
        <f t="shared" si="9"/>
        <v>0</v>
      </c>
      <c r="Y7" s="1364"/>
      <c r="Z7" s="1363">
        <f t="shared" si="10"/>
        <v>0</v>
      </c>
      <c r="AA7" s="1361"/>
      <c r="AB7" s="1362">
        <f t="shared" si="11"/>
        <v>0</v>
      </c>
      <c r="AC7" s="1365"/>
      <c r="AD7" s="1354"/>
      <c r="AE7" s="662">
        <f t="shared" si="12"/>
        <v>7</v>
      </c>
      <c r="AF7" s="663">
        <f t="shared" si="13"/>
        <v>0</v>
      </c>
      <c r="AG7" s="664">
        <f t="shared" si="14"/>
        <v>0</v>
      </c>
      <c r="AH7" s="665">
        <f t="shared" si="15"/>
        <v>0</v>
      </c>
      <c r="AJ7" s="1357">
        <v>2</v>
      </c>
      <c r="AK7" s="1358"/>
    </row>
    <row r="8" spans="2:37" ht="20.25">
      <c r="B8" s="1348"/>
      <c r="C8" s="259" t="s">
        <v>825</v>
      </c>
      <c r="D8" s="1360">
        <v>8</v>
      </c>
      <c r="E8" s="1361"/>
      <c r="F8" s="1362">
        <f t="shared" si="0"/>
        <v>0</v>
      </c>
      <c r="G8" s="1361"/>
      <c r="H8" s="1362">
        <f t="shared" si="1"/>
        <v>0</v>
      </c>
      <c r="I8" s="1361"/>
      <c r="J8" s="1362">
        <f t="shared" si="2"/>
        <v>0</v>
      </c>
      <c r="K8" s="1361"/>
      <c r="L8" s="1362">
        <f t="shared" si="3"/>
        <v>0</v>
      </c>
      <c r="M8" s="1361"/>
      <c r="N8" s="1362">
        <f t="shared" si="4"/>
        <v>0</v>
      </c>
      <c r="O8" s="1361"/>
      <c r="P8" s="1362">
        <f t="shared" si="5"/>
        <v>0</v>
      </c>
      <c r="Q8" s="1361"/>
      <c r="R8" s="1363">
        <f t="shared" si="6"/>
        <v>0</v>
      </c>
      <c r="S8" s="1361"/>
      <c r="T8" s="1362">
        <f t="shared" si="7"/>
        <v>0</v>
      </c>
      <c r="U8" s="1364"/>
      <c r="V8" s="1363">
        <f t="shared" si="8"/>
        <v>0</v>
      </c>
      <c r="W8" s="1361"/>
      <c r="X8" s="1362">
        <f t="shared" si="9"/>
        <v>0</v>
      </c>
      <c r="Y8" s="1364"/>
      <c r="Z8" s="1363">
        <f t="shared" si="10"/>
        <v>0</v>
      </c>
      <c r="AA8" s="1361"/>
      <c r="AB8" s="1362">
        <f t="shared" si="11"/>
        <v>0</v>
      </c>
      <c r="AC8" s="1365"/>
      <c r="AD8" s="1354"/>
      <c r="AE8" s="662">
        <f t="shared" si="12"/>
        <v>8</v>
      </c>
      <c r="AF8" s="663">
        <f t="shared" si="13"/>
        <v>0</v>
      </c>
      <c r="AG8" s="664">
        <f t="shared" si="14"/>
        <v>0</v>
      </c>
      <c r="AH8" s="665">
        <f t="shared" si="15"/>
        <v>0</v>
      </c>
      <c r="AJ8" s="1357">
        <v>4</v>
      </c>
      <c r="AK8" s="1358"/>
    </row>
    <row r="9" spans="2:37" ht="21">
      <c r="B9" s="1348"/>
      <c r="C9" s="263" t="s">
        <v>826</v>
      </c>
      <c r="D9" s="1360">
        <v>7</v>
      </c>
      <c r="E9" s="1366"/>
      <c r="F9" s="1367">
        <f t="shared" si="0"/>
        <v>0</v>
      </c>
      <c r="G9" s="1366"/>
      <c r="H9" s="1367">
        <f t="shared" si="1"/>
        <v>0</v>
      </c>
      <c r="I9" s="1366"/>
      <c r="J9" s="1367">
        <f t="shared" si="2"/>
        <v>0</v>
      </c>
      <c r="K9" s="1366"/>
      <c r="L9" s="1367">
        <f t="shared" si="3"/>
        <v>0</v>
      </c>
      <c r="M9" s="1366"/>
      <c r="N9" s="1367">
        <f t="shared" si="4"/>
        <v>0</v>
      </c>
      <c r="O9" s="1366"/>
      <c r="P9" s="1367">
        <f t="shared" si="5"/>
        <v>0</v>
      </c>
      <c r="Q9" s="1366"/>
      <c r="R9" s="1368">
        <f t="shared" si="6"/>
        <v>0</v>
      </c>
      <c r="S9" s="1366"/>
      <c r="T9" s="1367">
        <f t="shared" si="7"/>
        <v>0</v>
      </c>
      <c r="U9" s="1369"/>
      <c r="V9" s="1368">
        <f t="shared" si="8"/>
        <v>0</v>
      </c>
      <c r="W9" s="1366"/>
      <c r="X9" s="1367">
        <f t="shared" si="9"/>
        <v>0</v>
      </c>
      <c r="Y9" s="1369"/>
      <c r="Z9" s="1368">
        <f t="shared" si="10"/>
        <v>0</v>
      </c>
      <c r="AA9" s="1366"/>
      <c r="AB9" s="1367">
        <f t="shared" si="11"/>
        <v>0</v>
      </c>
      <c r="AC9" s="1370"/>
      <c r="AD9" s="1354"/>
      <c r="AE9" s="1080">
        <f t="shared" si="12"/>
        <v>7</v>
      </c>
      <c r="AF9" s="902">
        <f t="shared" si="13"/>
        <v>0</v>
      </c>
      <c r="AG9" s="914">
        <f t="shared" si="14"/>
        <v>0</v>
      </c>
      <c r="AH9" s="915">
        <f t="shared" si="15"/>
        <v>0</v>
      </c>
      <c r="AJ9" s="1357">
        <v>1</v>
      </c>
      <c r="AK9" s="1358"/>
    </row>
    <row r="10" spans="2:39" ht="21" customHeight="1">
      <c r="B10" s="23" t="s">
        <v>827</v>
      </c>
      <c r="C10" s="268" t="s">
        <v>828</v>
      </c>
      <c r="D10" s="1371">
        <v>4</v>
      </c>
      <c r="E10" s="1349"/>
      <c r="F10" s="1350">
        <f t="shared" si="0"/>
        <v>0</v>
      </c>
      <c r="G10" s="1349"/>
      <c r="H10" s="1350">
        <f t="shared" si="1"/>
        <v>0</v>
      </c>
      <c r="I10" s="1349"/>
      <c r="J10" s="1350">
        <f t="shared" si="2"/>
        <v>0</v>
      </c>
      <c r="K10" s="1349"/>
      <c r="L10" s="1350">
        <f t="shared" si="3"/>
        <v>0</v>
      </c>
      <c r="M10" s="1349"/>
      <c r="N10" s="1350">
        <f t="shared" si="4"/>
        <v>0</v>
      </c>
      <c r="O10" s="1349"/>
      <c r="P10" s="1350">
        <f t="shared" si="5"/>
        <v>0</v>
      </c>
      <c r="Q10" s="1349"/>
      <c r="R10" s="1351">
        <f t="shared" si="6"/>
        <v>0</v>
      </c>
      <c r="S10" s="1349"/>
      <c r="T10" s="1350">
        <f t="shared" si="7"/>
        <v>0</v>
      </c>
      <c r="U10" s="1352"/>
      <c r="V10" s="1351">
        <f t="shared" si="8"/>
        <v>0</v>
      </c>
      <c r="W10" s="1349"/>
      <c r="X10" s="1350">
        <f t="shared" si="9"/>
        <v>0</v>
      </c>
      <c r="Y10" s="1352"/>
      <c r="Z10" s="1351">
        <f t="shared" si="10"/>
        <v>0</v>
      </c>
      <c r="AA10" s="1349"/>
      <c r="AB10" s="1350">
        <f t="shared" si="11"/>
        <v>0</v>
      </c>
      <c r="AC10" s="1353"/>
      <c r="AD10" s="1372">
        <v>0.055</v>
      </c>
      <c r="AE10" s="1206">
        <f t="shared" si="12"/>
        <v>4</v>
      </c>
      <c r="AF10" s="1355">
        <f t="shared" si="13"/>
        <v>0</v>
      </c>
      <c r="AG10" s="1356">
        <f t="shared" si="14"/>
        <v>0</v>
      </c>
      <c r="AH10" s="804">
        <f t="shared" si="15"/>
        <v>0</v>
      </c>
      <c r="AI10" s="1373"/>
      <c r="AJ10" s="1357">
        <v>3</v>
      </c>
      <c r="AK10" s="1358"/>
      <c r="AL10" t="s">
        <v>829</v>
      </c>
      <c r="AM10" t="s">
        <v>830</v>
      </c>
    </row>
    <row r="11" spans="2:37" ht="20.25">
      <c r="B11" s="23"/>
      <c r="C11" s="278" t="s">
        <v>831</v>
      </c>
      <c r="D11" s="1360">
        <v>4.15</v>
      </c>
      <c r="E11" s="1374"/>
      <c r="F11" s="1375">
        <f t="shared" si="0"/>
        <v>0</v>
      </c>
      <c r="G11" s="1361"/>
      <c r="H11" s="1375">
        <f t="shared" si="1"/>
        <v>0</v>
      </c>
      <c r="I11" s="1361"/>
      <c r="J11" s="1375">
        <f t="shared" si="2"/>
        <v>0</v>
      </c>
      <c r="K11" s="1361"/>
      <c r="L11" s="1375">
        <f t="shared" si="3"/>
        <v>0</v>
      </c>
      <c r="M11" s="1361"/>
      <c r="N11" s="1375">
        <f t="shared" si="4"/>
        <v>0</v>
      </c>
      <c r="O11" s="1361"/>
      <c r="P11" s="1375">
        <f t="shared" si="5"/>
        <v>0</v>
      </c>
      <c r="Q11" s="1361"/>
      <c r="R11" s="1376">
        <f t="shared" si="6"/>
        <v>0</v>
      </c>
      <c r="S11" s="1361"/>
      <c r="T11" s="1375">
        <f t="shared" si="7"/>
        <v>0</v>
      </c>
      <c r="U11" s="1364"/>
      <c r="V11" s="1376">
        <f t="shared" si="8"/>
        <v>0</v>
      </c>
      <c r="W11" s="1361"/>
      <c r="X11" s="1375">
        <f t="shared" si="9"/>
        <v>0</v>
      </c>
      <c r="Y11" s="1364"/>
      <c r="Z11" s="1376">
        <f t="shared" si="10"/>
        <v>0</v>
      </c>
      <c r="AA11" s="1361"/>
      <c r="AB11" s="1375">
        <f t="shared" si="11"/>
        <v>0</v>
      </c>
      <c r="AC11" s="1365"/>
      <c r="AD11" s="1377">
        <v>0.2</v>
      </c>
      <c r="AE11" s="662">
        <f t="shared" si="12"/>
        <v>4.15</v>
      </c>
      <c r="AF11" s="663">
        <f t="shared" si="13"/>
        <v>0</v>
      </c>
      <c r="AG11" s="664">
        <f t="shared" si="14"/>
        <v>0</v>
      </c>
      <c r="AH11" s="665">
        <f t="shared" si="15"/>
        <v>0</v>
      </c>
      <c r="AI11" s="1373"/>
      <c r="AJ11" s="1357">
        <v>0</v>
      </c>
      <c r="AK11" s="1358"/>
    </row>
    <row r="12" spans="2:39" ht="20.25">
      <c r="B12" s="23"/>
      <c r="C12" s="278" t="s">
        <v>122</v>
      </c>
      <c r="D12" s="1360">
        <v>4.55</v>
      </c>
      <c r="E12" s="1378"/>
      <c r="F12" s="1362">
        <f t="shared" si="0"/>
        <v>0</v>
      </c>
      <c r="G12" s="1361"/>
      <c r="H12" s="1362">
        <f t="shared" si="1"/>
        <v>0</v>
      </c>
      <c r="I12" s="1361"/>
      <c r="J12" s="1362">
        <f t="shared" si="2"/>
        <v>0</v>
      </c>
      <c r="K12" s="1361"/>
      <c r="L12" s="1362">
        <f t="shared" si="3"/>
        <v>0</v>
      </c>
      <c r="M12" s="1361"/>
      <c r="N12" s="1362">
        <f t="shared" si="4"/>
        <v>0</v>
      </c>
      <c r="O12" s="1361"/>
      <c r="P12" s="1362">
        <f t="shared" si="5"/>
        <v>0</v>
      </c>
      <c r="Q12" s="1361"/>
      <c r="R12" s="1363">
        <f t="shared" si="6"/>
        <v>0</v>
      </c>
      <c r="S12" s="1361"/>
      <c r="T12" s="1362">
        <f t="shared" si="7"/>
        <v>0</v>
      </c>
      <c r="U12" s="1364"/>
      <c r="V12" s="1363">
        <f t="shared" si="8"/>
        <v>0</v>
      </c>
      <c r="W12" s="1361"/>
      <c r="X12" s="1362">
        <f t="shared" si="9"/>
        <v>0</v>
      </c>
      <c r="Y12" s="1364"/>
      <c r="Z12" s="1363">
        <f t="shared" si="10"/>
        <v>0</v>
      </c>
      <c r="AA12" s="1361"/>
      <c r="AB12" s="1362">
        <f t="shared" si="11"/>
        <v>0</v>
      </c>
      <c r="AC12" s="1365"/>
      <c r="AD12" s="1377"/>
      <c r="AE12" s="662"/>
      <c r="AF12" s="663"/>
      <c r="AG12" s="664">
        <f t="shared" si="14"/>
        <v>0</v>
      </c>
      <c r="AH12" s="665">
        <f t="shared" si="15"/>
        <v>0</v>
      </c>
      <c r="AI12" s="1373"/>
      <c r="AJ12" s="1357">
        <v>2</v>
      </c>
      <c r="AK12" s="1358"/>
      <c r="AL12" t="s">
        <v>832</v>
      </c>
      <c r="AM12" t="s">
        <v>833</v>
      </c>
    </row>
    <row r="13" spans="2:39" ht="20.25">
      <c r="B13" s="23"/>
      <c r="C13" s="1379" t="s">
        <v>123</v>
      </c>
      <c r="D13" s="1380">
        <v>3.65</v>
      </c>
      <c r="E13" s="1378"/>
      <c r="F13" s="1362">
        <f t="shared" si="0"/>
        <v>0</v>
      </c>
      <c r="G13" s="1361"/>
      <c r="H13" s="1362">
        <f t="shared" si="1"/>
        <v>0</v>
      </c>
      <c r="I13" s="1361"/>
      <c r="J13" s="1362">
        <f t="shared" si="2"/>
        <v>0</v>
      </c>
      <c r="K13" s="1361"/>
      <c r="L13" s="1362">
        <f t="shared" si="3"/>
        <v>0</v>
      </c>
      <c r="M13" s="1361"/>
      <c r="N13" s="1362">
        <f t="shared" si="4"/>
        <v>0</v>
      </c>
      <c r="O13" s="1361"/>
      <c r="P13" s="1362">
        <f t="shared" si="5"/>
        <v>0</v>
      </c>
      <c r="Q13" s="1361"/>
      <c r="R13" s="1363">
        <f t="shared" si="6"/>
        <v>0</v>
      </c>
      <c r="S13" s="1361"/>
      <c r="T13" s="1362">
        <f t="shared" si="7"/>
        <v>0</v>
      </c>
      <c r="U13" s="1364"/>
      <c r="V13" s="1363">
        <f t="shared" si="8"/>
        <v>0</v>
      </c>
      <c r="W13" s="1361"/>
      <c r="X13" s="1362">
        <f t="shared" si="9"/>
        <v>0</v>
      </c>
      <c r="Y13" s="1364"/>
      <c r="Z13" s="1363">
        <f t="shared" si="10"/>
        <v>0</v>
      </c>
      <c r="AA13" s="1361"/>
      <c r="AB13" s="1362">
        <f t="shared" si="11"/>
        <v>0</v>
      </c>
      <c r="AC13" s="1365"/>
      <c r="AD13" s="1377"/>
      <c r="AE13" s="662"/>
      <c r="AF13" s="663"/>
      <c r="AG13" s="664">
        <f t="shared" si="14"/>
        <v>0</v>
      </c>
      <c r="AH13" s="665">
        <f t="shared" si="15"/>
        <v>0</v>
      </c>
      <c r="AI13" s="1373"/>
      <c r="AJ13" s="1357">
        <v>2</v>
      </c>
      <c r="AK13" s="1358"/>
      <c r="AL13" t="s">
        <v>832</v>
      </c>
      <c r="AM13" t="s">
        <v>834</v>
      </c>
    </row>
    <row r="14" spans="2:38" ht="20.25">
      <c r="B14" s="23"/>
      <c r="C14" s="263" t="s">
        <v>124</v>
      </c>
      <c r="D14" s="1380">
        <v>4.15</v>
      </c>
      <c r="E14" s="1378"/>
      <c r="F14" s="1362">
        <f t="shared" si="0"/>
        <v>0</v>
      </c>
      <c r="G14" s="1361"/>
      <c r="H14" s="1362">
        <f t="shared" si="1"/>
        <v>0</v>
      </c>
      <c r="I14" s="1361"/>
      <c r="J14" s="1362">
        <f t="shared" si="2"/>
        <v>0</v>
      </c>
      <c r="K14" s="1361"/>
      <c r="L14" s="1362">
        <f t="shared" si="3"/>
        <v>0</v>
      </c>
      <c r="M14" s="1361"/>
      <c r="N14" s="1362">
        <f t="shared" si="4"/>
        <v>0</v>
      </c>
      <c r="O14" s="1361"/>
      <c r="P14" s="1362">
        <f t="shared" si="5"/>
        <v>0</v>
      </c>
      <c r="Q14" s="1361"/>
      <c r="R14" s="1363">
        <f t="shared" si="6"/>
        <v>0</v>
      </c>
      <c r="S14" s="1361"/>
      <c r="T14" s="1362">
        <f t="shared" si="7"/>
        <v>0</v>
      </c>
      <c r="U14" s="1364"/>
      <c r="V14" s="1363">
        <f t="shared" si="8"/>
        <v>0</v>
      </c>
      <c r="W14" s="1361"/>
      <c r="X14" s="1362">
        <f t="shared" si="9"/>
        <v>0</v>
      </c>
      <c r="Y14" s="1364"/>
      <c r="Z14" s="1363">
        <f t="shared" si="10"/>
        <v>0</v>
      </c>
      <c r="AA14" s="1361"/>
      <c r="AB14" s="1362">
        <f t="shared" si="11"/>
        <v>0</v>
      </c>
      <c r="AC14" s="1365"/>
      <c r="AD14" s="1381">
        <v>0.055</v>
      </c>
      <c r="AE14" s="662"/>
      <c r="AF14" s="663"/>
      <c r="AG14" s="664">
        <f t="shared" si="14"/>
        <v>0</v>
      </c>
      <c r="AH14" s="665">
        <f t="shared" si="15"/>
        <v>0</v>
      </c>
      <c r="AI14" s="1373"/>
      <c r="AJ14" s="1357">
        <v>3</v>
      </c>
      <c r="AK14" s="1358"/>
      <c r="AL14" t="s">
        <v>835</v>
      </c>
    </row>
    <row r="15" spans="2:38" ht="21">
      <c r="B15" s="23"/>
      <c r="C15" s="281" t="s">
        <v>125</v>
      </c>
      <c r="D15" s="540">
        <v>4.15</v>
      </c>
      <c r="E15" s="1382"/>
      <c r="F15" s="1367">
        <f t="shared" si="0"/>
        <v>0</v>
      </c>
      <c r="G15" s="1366"/>
      <c r="H15" s="1367">
        <f t="shared" si="1"/>
        <v>0</v>
      </c>
      <c r="I15" s="1366"/>
      <c r="J15" s="1367">
        <f t="shared" si="2"/>
        <v>0</v>
      </c>
      <c r="K15" s="1366"/>
      <c r="L15" s="1367">
        <f t="shared" si="3"/>
        <v>0</v>
      </c>
      <c r="M15" s="1366"/>
      <c r="N15" s="1367">
        <f t="shared" si="4"/>
        <v>0</v>
      </c>
      <c r="O15" s="1366"/>
      <c r="P15" s="1367">
        <f t="shared" si="5"/>
        <v>0</v>
      </c>
      <c r="Q15" s="1366"/>
      <c r="R15" s="1368">
        <f t="shared" si="6"/>
        <v>0</v>
      </c>
      <c r="S15" s="1366"/>
      <c r="T15" s="1367">
        <f t="shared" si="7"/>
        <v>0</v>
      </c>
      <c r="U15" s="1369"/>
      <c r="V15" s="1368">
        <f t="shared" si="8"/>
        <v>0</v>
      </c>
      <c r="W15" s="1366"/>
      <c r="X15" s="1367">
        <f t="shared" si="9"/>
        <v>0</v>
      </c>
      <c r="Y15" s="1369"/>
      <c r="Z15" s="1368">
        <f t="shared" si="10"/>
        <v>0</v>
      </c>
      <c r="AA15" s="1366"/>
      <c r="AB15" s="1367">
        <f t="shared" si="11"/>
        <v>0</v>
      </c>
      <c r="AC15" s="1370"/>
      <c r="AD15" s="1381"/>
      <c r="AE15" s="1080"/>
      <c r="AF15" s="902"/>
      <c r="AG15" s="914">
        <f t="shared" si="14"/>
        <v>0</v>
      </c>
      <c r="AH15" s="915">
        <f t="shared" si="15"/>
        <v>0</v>
      </c>
      <c r="AI15" s="1373"/>
      <c r="AJ15" s="1357">
        <v>3</v>
      </c>
      <c r="AK15" s="1358"/>
      <c r="AL15" t="s">
        <v>835</v>
      </c>
    </row>
    <row r="16" spans="2:37" ht="21" customHeight="1">
      <c r="B16" s="212" t="s">
        <v>836</v>
      </c>
      <c r="C16" s="246" t="s">
        <v>837</v>
      </c>
      <c r="D16" s="1371">
        <v>7</v>
      </c>
      <c r="E16" s="1383"/>
      <c r="F16" s="1384">
        <f t="shared" si="0"/>
        <v>0</v>
      </c>
      <c r="G16" s="1349"/>
      <c r="H16" s="1384">
        <f t="shared" si="1"/>
        <v>0</v>
      </c>
      <c r="I16" s="1349"/>
      <c r="J16" s="1384">
        <f t="shared" si="2"/>
        <v>0</v>
      </c>
      <c r="K16" s="1349"/>
      <c r="L16" s="1384">
        <f t="shared" si="3"/>
        <v>0</v>
      </c>
      <c r="M16" s="1349"/>
      <c r="N16" s="1384">
        <f t="shared" si="4"/>
        <v>0</v>
      </c>
      <c r="O16" s="1349"/>
      <c r="P16" s="1384">
        <f t="shared" si="5"/>
        <v>0</v>
      </c>
      <c r="Q16" s="1349"/>
      <c r="R16" s="1385">
        <f t="shared" si="6"/>
        <v>0</v>
      </c>
      <c r="S16" s="1349"/>
      <c r="T16" s="1384">
        <f t="shared" si="7"/>
        <v>0</v>
      </c>
      <c r="U16" s="1352"/>
      <c r="V16" s="1385">
        <f t="shared" si="8"/>
        <v>0</v>
      </c>
      <c r="W16" s="1349"/>
      <c r="X16" s="1384">
        <f t="shared" si="9"/>
        <v>0</v>
      </c>
      <c r="Y16" s="1352"/>
      <c r="Z16" s="1385">
        <f t="shared" si="10"/>
        <v>0</v>
      </c>
      <c r="AA16" s="1349"/>
      <c r="AB16" s="1384">
        <f t="shared" si="11"/>
        <v>0</v>
      </c>
      <c r="AC16" s="638">
        <f>'[2]Ventes St Sever'!$AD$30</f>
        <v>4.95</v>
      </c>
      <c r="AD16" s="1381"/>
      <c r="AE16" s="1206"/>
      <c r="AF16" s="1355"/>
      <c r="AG16" s="1356">
        <f t="shared" si="14"/>
        <v>0</v>
      </c>
      <c r="AH16" s="804">
        <f t="shared" si="15"/>
        <v>0</v>
      </c>
      <c r="AI16" s="1373"/>
      <c r="AJ16" s="1357">
        <v>3</v>
      </c>
      <c r="AK16" s="1358"/>
    </row>
    <row r="17" spans="2:37" ht="20.25">
      <c r="B17" s="212"/>
      <c r="C17" s="259" t="s">
        <v>117</v>
      </c>
      <c r="D17" s="1360">
        <v>7</v>
      </c>
      <c r="E17" s="1378"/>
      <c r="F17" s="1362">
        <f t="shared" si="0"/>
        <v>0</v>
      </c>
      <c r="G17" s="1361"/>
      <c r="H17" s="1362">
        <f t="shared" si="1"/>
        <v>0</v>
      </c>
      <c r="I17" s="1361"/>
      <c r="J17" s="1362">
        <f t="shared" si="2"/>
        <v>0</v>
      </c>
      <c r="K17" s="1361"/>
      <c r="L17" s="1362">
        <f t="shared" si="3"/>
        <v>0</v>
      </c>
      <c r="M17" s="1361"/>
      <c r="N17" s="1362">
        <f t="shared" si="4"/>
        <v>0</v>
      </c>
      <c r="O17" s="1361"/>
      <c r="P17" s="1362">
        <f t="shared" si="5"/>
        <v>0</v>
      </c>
      <c r="Q17" s="1361"/>
      <c r="R17" s="1363">
        <f t="shared" si="6"/>
        <v>0</v>
      </c>
      <c r="S17" s="1361"/>
      <c r="T17" s="1362">
        <f t="shared" si="7"/>
        <v>0</v>
      </c>
      <c r="U17" s="1364"/>
      <c r="V17" s="1363">
        <f t="shared" si="8"/>
        <v>0</v>
      </c>
      <c r="W17" s="1361"/>
      <c r="X17" s="1362">
        <f t="shared" si="9"/>
        <v>0</v>
      </c>
      <c r="Y17" s="1364"/>
      <c r="Z17" s="1363">
        <f t="shared" si="10"/>
        <v>0</v>
      </c>
      <c r="AA17" s="1361"/>
      <c r="AB17" s="1362">
        <f t="shared" si="11"/>
        <v>0</v>
      </c>
      <c r="AC17" s="660">
        <f>'[2]Ventes St Sever'!$AD$31</f>
        <v>4.95</v>
      </c>
      <c r="AD17" s="1381"/>
      <c r="AE17" s="662"/>
      <c r="AF17" s="663"/>
      <c r="AG17" s="664">
        <f t="shared" si="14"/>
        <v>0</v>
      </c>
      <c r="AH17" s="665">
        <f t="shared" si="15"/>
        <v>0</v>
      </c>
      <c r="AI17" s="1373"/>
      <c r="AJ17" s="1357">
        <v>3</v>
      </c>
      <c r="AK17" s="1358"/>
    </row>
    <row r="18" spans="2:37" ht="20.25">
      <c r="B18" s="212"/>
      <c r="C18" s="263" t="s">
        <v>838</v>
      </c>
      <c r="D18" s="1360">
        <v>7</v>
      </c>
      <c r="E18" s="1378"/>
      <c r="F18" s="1362">
        <f t="shared" si="0"/>
        <v>0</v>
      </c>
      <c r="G18" s="1361"/>
      <c r="H18" s="1362">
        <f t="shared" si="1"/>
        <v>0</v>
      </c>
      <c r="I18" s="1361"/>
      <c r="J18" s="1362">
        <f t="shared" si="2"/>
        <v>0</v>
      </c>
      <c r="K18" s="1361"/>
      <c r="L18" s="1362">
        <f t="shared" si="3"/>
        <v>0</v>
      </c>
      <c r="M18" s="1361"/>
      <c r="N18" s="1362">
        <f t="shared" si="4"/>
        <v>0</v>
      </c>
      <c r="O18" s="1361"/>
      <c r="P18" s="1362">
        <f t="shared" si="5"/>
        <v>0</v>
      </c>
      <c r="Q18" s="1361"/>
      <c r="R18" s="1363">
        <f t="shared" si="6"/>
        <v>0</v>
      </c>
      <c r="S18" s="1361"/>
      <c r="T18" s="1362">
        <f t="shared" si="7"/>
        <v>0</v>
      </c>
      <c r="U18" s="1364"/>
      <c r="V18" s="1363">
        <f t="shared" si="8"/>
        <v>0</v>
      </c>
      <c r="W18" s="1361"/>
      <c r="X18" s="1362">
        <f t="shared" si="9"/>
        <v>0</v>
      </c>
      <c r="Y18" s="1364"/>
      <c r="Z18" s="1363">
        <f t="shared" si="10"/>
        <v>0</v>
      </c>
      <c r="AA18" s="1361"/>
      <c r="AB18" s="1362">
        <f t="shared" si="11"/>
        <v>0</v>
      </c>
      <c r="AC18" s="660">
        <f>'[2]Ventes St Sever'!$AD$31</f>
        <v>4.95</v>
      </c>
      <c r="AD18" s="1381"/>
      <c r="AE18" s="662"/>
      <c r="AF18" s="663"/>
      <c r="AG18" s="664">
        <f t="shared" si="14"/>
        <v>0</v>
      </c>
      <c r="AH18" s="665">
        <f t="shared" si="15"/>
        <v>0</v>
      </c>
      <c r="AI18" s="1373"/>
      <c r="AJ18" s="1357">
        <v>5</v>
      </c>
      <c r="AK18" s="1358"/>
    </row>
    <row r="19" spans="2:37" ht="20.25">
      <c r="B19" s="212"/>
      <c r="C19" s="263" t="s">
        <v>118</v>
      </c>
      <c r="D19" s="1380">
        <v>15</v>
      </c>
      <c r="E19" s="1386"/>
      <c r="F19" s="1387">
        <f t="shared" si="0"/>
        <v>0</v>
      </c>
      <c r="G19" s="1388"/>
      <c r="H19" s="1387">
        <f t="shared" si="1"/>
        <v>0</v>
      </c>
      <c r="I19" s="1388"/>
      <c r="J19" s="1387">
        <f t="shared" si="2"/>
        <v>0</v>
      </c>
      <c r="K19" s="1388"/>
      <c r="L19" s="1387">
        <f t="shared" si="3"/>
        <v>0</v>
      </c>
      <c r="M19" s="1388">
        <v>1</v>
      </c>
      <c r="N19" s="1387">
        <f t="shared" si="4"/>
        <v>15</v>
      </c>
      <c r="O19" s="1388">
        <v>2</v>
      </c>
      <c r="P19" s="1387">
        <f t="shared" si="5"/>
        <v>30</v>
      </c>
      <c r="Q19" s="1388"/>
      <c r="R19" s="1389">
        <f t="shared" si="6"/>
        <v>0</v>
      </c>
      <c r="S19" s="1388"/>
      <c r="T19" s="1387">
        <f t="shared" si="7"/>
        <v>0</v>
      </c>
      <c r="U19" s="1390"/>
      <c r="V19" s="1389">
        <f t="shared" si="8"/>
        <v>0</v>
      </c>
      <c r="W19" s="1388"/>
      <c r="X19" s="1387">
        <f t="shared" si="9"/>
        <v>0</v>
      </c>
      <c r="Y19" s="1390"/>
      <c r="Z19" s="1389">
        <f t="shared" si="10"/>
        <v>0</v>
      </c>
      <c r="AA19" s="1388"/>
      <c r="AB19" s="1387">
        <f t="shared" si="11"/>
        <v>0</v>
      </c>
      <c r="AC19" s="707">
        <f>'[2]Ventes St Sever'!$AD$33</f>
        <v>10</v>
      </c>
      <c r="AD19" s="1391">
        <v>0.2</v>
      </c>
      <c r="AE19" s="686"/>
      <c r="AF19" s="687"/>
      <c r="AG19" s="688">
        <f t="shared" si="14"/>
        <v>45</v>
      </c>
      <c r="AH19" s="689">
        <f t="shared" si="15"/>
        <v>3</v>
      </c>
      <c r="AI19" s="1373"/>
      <c r="AJ19" s="1357">
        <v>4</v>
      </c>
      <c r="AK19" s="1358"/>
    </row>
    <row r="20" spans="2:37" ht="21" customHeight="1">
      <c r="B20" s="23" t="s">
        <v>460</v>
      </c>
      <c r="C20" s="1392" t="s">
        <v>839</v>
      </c>
      <c r="D20" s="1393">
        <v>1</v>
      </c>
      <c r="E20" s="1394"/>
      <c r="F20" s="1395">
        <f t="shared" si="0"/>
        <v>0</v>
      </c>
      <c r="G20" s="1394"/>
      <c r="H20" s="1395">
        <f t="shared" si="1"/>
        <v>0</v>
      </c>
      <c r="I20" s="1394"/>
      <c r="J20" s="1395">
        <f t="shared" si="2"/>
        <v>0</v>
      </c>
      <c r="K20" s="1394"/>
      <c r="L20" s="1395">
        <f t="shared" si="3"/>
        <v>0</v>
      </c>
      <c r="M20" s="1394"/>
      <c r="N20" s="1395">
        <f t="shared" si="4"/>
        <v>0</v>
      </c>
      <c r="O20" s="1394"/>
      <c r="P20" s="1395">
        <f t="shared" si="5"/>
        <v>0</v>
      </c>
      <c r="Q20" s="1394"/>
      <c r="R20" s="1396">
        <f t="shared" si="6"/>
        <v>0</v>
      </c>
      <c r="S20" s="1397"/>
      <c r="T20" s="1387">
        <f t="shared" si="7"/>
        <v>0</v>
      </c>
      <c r="U20" s="1398"/>
      <c r="V20" s="1395">
        <f t="shared" si="8"/>
        <v>0</v>
      </c>
      <c r="W20" s="1394"/>
      <c r="X20" s="1395">
        <f t="shared" si="9"/>
        <v>0</v>
      </c>
      <c r="Y20" s="1394"/>
      <c r="Z20" s="1395">
        <f t="shared" si="10"/>
        <v>0</v>
      </c>
      <c r="AA20" s="1394"/>
      <c r="AB20" s="1395">
        <f t="shared" si="11"/>
        <v>0</v>
      </c>
      <c r="AC20" s="1399"/>
      <c r="AD20" s="1391"/>
      <c r="AE20" s="1400"/>
      <c r="AF20" s="1401"/>
      <c r="AG20" s="1402">
        <f t="shared" si="14"/>
        <v>0</v>
      </c>
      <c r="AH20" s="1403">
        <f t="shared" si="15"/>
        <v>0</v>
      </c>
      <c r="AI20" s="1373"/>
      <c r="AJ20" s="1357">
        <v>33</v>
      </c>
      <c r="AK20" s="1358"/>
    </row>
    <row r="21" spans="2:37" ht="20.25">
      <c r="B21" s="23"/>
      <c r="C21" s="1404" t="s">
        <v>840</v>
      </c>
      <c r="D21" s="1405">
        <v>6.9</v>
      </c>
      <c r="E21" s="1406"/>
      <c r="F21" s="1407">
        <f t="shared" si="0"/>
        <v>0</v>
      </c>
      <c r="G21" s="1406"/>
      <c r="H21" s="1407">
        <f t="shared" si="1"/>
        <v>0</v>
      </c>
      <c r="I21" s="1406"/>
      <c r="J21" s="1407">
        <f t="shared" si="2"/>
        <v>0</v>
      </c>
      <c r="K21" s="1406"/>
      <c r="L21" s="1407">
        <f t="shared" si="3"/>
        <v>0</v>
      </c>
      <c r="M21" s="1406"/>
      <c r="N21" s="1407">
        <f t="shared" si="4"/>
        <v>0</v>
      </c>
      <c r="O21" s="1406"/>
      <c r="P21" s="1407">
        <f t="shared" si="5"/>
        <v>0</v>
      </c>
      <c r="Q21" s="1406"/>
      <c r="R21" s="1408">
        <f t="shared" si="6"/>
        <v>0</v>
      </c>
      <c r="S21" s="1409"/>
      <c r="T21" s="1410">
        <f t="shared" si="7"/>
        <v>0</v>
      </c>
      <c r="U21" s="1411"/>
      <c r="V21" s="1407">
        <f t="shared" si="8"/>
        <v>0</v>
      </c>
      <c r="W21" s="1406"/>
      <c r="X21" s="1407">
        <f t="shared" si="9"/>
        <v>0</v>
      </c>
      <c r="Y21" s="1406"/>
      <c r="Z21" s="1407">
        <f t="shared" si="10"/>
        <v>0</v>
      </c>
      <c r="AA21" s="1406"/>
      <c r="AB21" s="1407">
        <f t="shared" si="11"/>
        <v>0</v>
      </c>
      <c r="AC21" s="1412"/>
      <c r="AD21" s="1391"/>
      <c r="AE21" s="1413">
        <f>D21-AC21</f>
        <v>6.9</v>
      </c>
      <c r="AF21" s="1414">
        <f>AE21*AH21</f>
        <v>0</v>
      </c>
      <c r="AG21" s="1415">
        <f t="shared" si="14"/>
        <v>0</v>
      </c>
      <c r="AH21" s="1416">
        <f t="shared" si="15"/>
        <v>0</v>
      </c>
      <c r="AI21" t="s">
        <v>841</v>
      </c>
      <c r="AJ21" s="1357"/>
      <c r="AK21" s="1358"/>
    </row>
    <row r="22" spans="2:37" ht="21.75" customHeight="1">
      <c r="B22" s="212" t="s">
        <v>842</v>
      </c>
      <c r="C22" s="1417" t="s">
        <v>843</v>
      </c>
      <c r="D22" s="1418">
        <v>7.9</v>
      </c>
      <c r="E22" s="1383"/>
      <c r="F22" s="1384">
        <f t="shared" si="0"/>
        <v>0</v>
      </c>
      <c r="G22" s="1419"/>
      <c r="H22" s="1384">
        <f t="shared" si="1"/>
        <v>0</v>
      </c>
      <c r="I22" s="1419"/>
      <c r="J22" s="1384">
        <f t="shared" si="2"/>
        <v>0</v>
      </c>
      <c r="K22" s="1419"/>
      <c r="L22" s="1384">
        <f t="shared" si="3"/>
        <v>0</v>
      </c>
      <c r="M22" s="1419"/>
      <c r="N22" s="1384">
        <f t="shared" si="4"/>
        <v>0</v>
      </c>
      <c r="O22" s="1419"/>
      <c r="P22" s="1384">
        <f t="shared" si="5"/>
        <v>0</v>
      </c>
      <c r="Q22" s="1419"/>
      <c r="R22" s="1385">
        <f t="shared" si="6"/>
        <v>0</v>
      </c>
      <c r="S22" s="1420"/>
      <c r="T22" s="1375">
        <f t="shared" si="7"/>
        <v>0</v>
      </c>
      <c r="U22" s="1421"/>
      <c r="V22" s="1376">
        <f t="shared" si="8"/>
        <v>0</v>
      </c>
      <c r="W22" s="1420"/>
      <c r="X22" s="1375">
        <f t="shared" si="9"/>
        <v>0</v>
      </c>
      <c r="Y22" s="1421"/>
      <c r="Z22" s="1376">
        <f t="shared" si="10"/>
        <v>0</v>
      </c>
      <c r="AA22" s="1420"/>
      <c r="AB22" s="1375">
        <f t="shared" si="11"/>
        <v>0</v>
      </c>
      <c r="AC22" s="1422">
        <v>5.81</v>
      </c>
      <c r="AD22" s="1391"/>
      <c r="AE22" s="1122"/>
      <c r="AF22" s="733"/>
      <c r="AG22" s="734">
        <f t="shared" si="14"/>
        <v>0</v>
      </c>
      <c r="AH22" s="735"/>
      <c r="AJ22" s="1357">
        <v>10</v>
      </c>
      <c r="AK22" s="1358"/>
    </row>
    <row r="23" spans="2:37" ht="21.75">
      <c r="B23" s="212"/>
      <c r="C23" s="1423" t="s">
        <v>844</v>
      </c>
      <c r="D23" s="1418">
        <v>7.9</v>
      </c>
      <c r="E23" s="1424"/>
      <c r="F23" s="1384">
        <f t="shared" si="0"/>
        <v>0</v>
      </c>
      <c r="G23" s="1425"/>
      <c r="H23" s="1384">
        <f t="shared" si="1"/>
        <v>0</v>
      </c>
      <c r="I23" s="1425"/>
      <c r="J23" s="1384">
        <f t="shared" si="2"/>
        <v>0</v>
      </c>
      <c r="K23" s="1425"/>
      <c r="L23" s="1384">
        <f t="shared" si="3"/>
        <v>0</v>
      </c>
      <c r="M23" s="1425"/>
      <c r="N23" s="1384">
        <f t="shared" si="4"/>
        <v>0</v>
      </c>
      <c r="O23" s="1425"/>
      <c r="P23" s="1384">
        <f t="shared" si="5"/>
        <v>0</v>
      </c>
      <c r="Q23" s="1425"/>
      <c r="R23" s="1385">
        <f t="shared" si="6"/>
        <v>0</v>
      </c>
      <c r="S23" s="1361"/>
      <c r="T23" s="1375">
        <f t="shared" si="7"/>
        <v>0</v>
      </c>
      <c r="U23" s="1364"/>
      <c r="V23" s="1363">
        <f t="shared" si="8"/>
        <v>0</v>
      </c>
      <c r="W23" s="1361"/>
      <c r="X23" s="1362">
        <f t="shared" si="9"/>
        <v>0</v>
      </c>
      <c r="Y23" s="1364"/>
      <c r="Z23" s="1363">
        <f t="shared" si="10"/>
        <v>0</v>
      </c>
      <c r="AA23" s="1361"/>
      <c r="AB23" s="1362">
        <f t="shared" si="11"/>
        <v>0</v>
      </c>
      <c r="AC23" s="1365">
        <v>5.81</v>
      </c>
      <c r="AD23" s="1391"/>
      <c r="AE23" s="662"/>
      <c r="AF23" s="663"/>
      <c r="AG23" s="664">
        <f t="shared" si="14"/>
        <v>0</v>
      </c>
      <c r="AH23" s="665"/>
      <c r="AJ23" s="1357">
        <v>10</v>
      </c>
      <c r="AK23" s="1358"/>
    </row>
    <row r="24" spans="2:37" ht="21.75">
      <c r="B24" s="212"/>
      <c r="C24" s="1426" t="s">
        <v>845</v>
      </c>
      <c r="D24" s="1418">
        <v>7.9</v>
      </c>
      <c r="E24" s="1424"/>
      <c r="F24" s="1384">
        <f t="shared" si="0"/>
        <v>0</v>
      </c>
      <c r="G24" s="1425"/>
      <c r="H24" s="1384">
        <f t="shared" si="1"/>
        <v>0</v>
      </c>
      <c r="I24" s="1425"/>
      <c r="J24" s="1384">
        <f t="shared" si="2"/>
        <v>0</v>
      </c>
      <c r="K24" s="1425"/>
      <c r="L24" s="1384">
        <f t="shared" si="3"/>
        <v>0</v>
      </c>
      <c r="M24" s="1425"/>
      <c r="N24" s="1384">
        <f t="shared" si="4"/>
        <v>0</v>
      </c>
      <c r="O24" s="1425"/>
      <c r="P24" s="1384">
        <f t="shared" si="5"/>
        <v>0</v>
      </c>
      <c r="Q24" s="1425"/>
      <c r="R24" s="1385">
        <f t="shared" si="6"/>
        <v>0</v>
      </c>
      <c r="S24" s="1427"/>
      <c r="T24" s="1428">
        <f t="shared" si="7"/>
        <v>0</v>
      </c>
      <c r="U24" s="1429"/>
      <c r="V24" s="1430">
        <f t="shared" si="8"/>
        <v>0</v>
      </c>
      <c r="W24" s="1427"/>
      <c r="X24" s="1428">
        <f t="shared" si="9"/>
        <v>0</v>
      </c>
      <c r="Y24" s="1429"/>
      <c r="Z24" s="1430">
        <f t="shared" si="10"/>
        <v>0</v>
      </c>
      <c r="AA24" s="1427"/>
      <c r="AB24" s="1428">
        <f t="shared" si="11"/>
        <v>0</v>
      </c>
      <c r="AC24" s="1431">
        <v>5.81</v>
      </c>
      <c r="AD24" s="1391"/>
      <c r="AE24" s="709"/>
      <c r="AF24" s="710"/>
      <c r="AG24" s="711">
        <f t="shared" si="14"/>
        <v>0</v>
      </c>
      <c r="AH24" s="712"/>
      <c r="AI24" s="1432"/>
      <c r="AJ24" s="1433">
        <v>9</v>
      </c>
      <c r="AK24" s="1358"/>
    </row>
    <row r="25" spans="2:37" ht="21">
      <c r="B25" s="1434" t="s">
        <v>178</v>
      </c>
      <c r="C25" s="528" t="s">
        <v>179</v>
      </c>
      <c r="D25" s="1371">
        <v>2</v>
      </c>
      <c r="E25" s="1349"/>
      <c r="F25" s="1350">
        <f t="shared" si="0"/>
        <v>0</v>
      </c>
      <c r="G25" s="1349"/>
      <c r="H25" s="1350">
        <f t="shared" si="1"/>
        <v>0</v>
      </c>
      <c r="I25" s="1349"/>
      <c r="J25" s="1350">
        <f t="shared" si="2"/>
        <v>0</v>
      </c>
      <c r="K25" s="1349"/>
      <c r="L25" s="1350">
        <f t="shared" si="3"/>
        <v>0</v>
      </c>
      <c r="M25" s="1349"/>
      <c r="N25" s="1350">
        <f t="shared" si="4"/>
        <v>0</v>
      </c>
      <c r="O25" s="1349"/>
      <c r="P25" s="1350">
        <f t="shared" si="5"/>
        <v>0</v>
      </c>
      <c r="Q25" s="1349"/>
      <c r="R25" s="1351">
        <f t="shared" si="6"/>
        <v>0</v>
      </c>
      <c r="S25" s="1349"/>
      <c r="T25" s="1350">
        <f t="shared" si="7"/>
        <v>0</v>
      </c>
      <c r="U25" s="1352"/>
      <c r="V25" s="1351">
        <f t="shared" si="8"/>
        <v>0</v>
      </c>
      <c r="W25" s="1349"/>
      <c r="X25" s="1350">
        <f t="shared" si="9"/>
        <v>0</v>
      </c>
      <c r="Y25" s="1352"/>
      <c r="Z25" s="1351">
        <f t="shared" si="10"/>
        <v>0</v>
      </c>
      <c r="AA25" s="1349"/>
      <c r="AB25" s="1350">
        <f t="shared" si="11"/>
        <v>0</v>
      </c>
      <c r="AC25" s="1353">
        <f>'[2]Ventes St Sever'!$AD$130</f>
        <v>1.182</v>
      </c>
      <c r="AD25" s="1391"/>
      <c r="AE25" s="1206">
        <f aca="true" t="shared" si="16" ref="AE25:AE57">D25-AC25</f>
        <v>0.8180000000000001</v>
      </c>
      <c r="AF25" s="1355">
        <f aca="true" t="shared" si="17" ref="AF25:AF55">AE25*AH25</f>
        <v>0</v>
      </c>
      <c r="AG25" s="1356">
        <f t="shared" si="14"/>
        <v>0</v>
      </c>
      <c r="AH25" s="804">
        <f aca="true" t="shared" si="18" ref="AH25:AH55">AA25+Y25+W25+U25+S25+Q25+O25+M25+K25+I25+G25+E25</f>
        <v>0</v>
      </c>
      <c r="AJ25" s="1357">
        <v>7</v>
      </c>
      <c r="AK25" s="1358"/>
    </row>
    <row r="26" spans="2:37" ht="20.25">
      <c r="B26" s="1434"/>
      <c r="C26" s="460" t="s">
        <v>181</v>
      </c>
      <c r="D26" s="1360">
        <v>2</v>
      </c>
      <c r="E26" s="1361">
        <v>1</v>
      </c>
      <c r="F26" s="1362">
        <f t="shared" si="0"/>
        <v>2</v>
      </c>
      <c r="G26" s="1361">
        <v>1</v>
      </c>
      <c r="H26" s="1362">
        <f t="shared" si="1"/>
        <v>2</v>
      </c>
      <c r="I26" s="1361"/>
      <c r="J26" s="1362">
        <f t="shared" si="2"/>
        <v>0</v>
      </c>
      <c r="K26" s="1361">
        <v>1</v>
      </c>
      <c r="L26" s="1362">
        <f t="shared" si="3"/>
        <v>2</v>
      </c>
      <c r="M26" s="1361">
        <v>2</v>
      </c>
      <c r="N26" s="1362">
        <f t="shared" si="4"/>
        <v>4</v>
      </c>
      <c r="O26" s="1361">
        <v>2</v>
      </c>
      <c r="P26" s="1362">
        <f t="shared" si="5"/>
        <v>4</v>
      </c>
      <c r="Q26" s="1361"/>
      <c r="R26" s="1363">
        <f t="shared" si="6"/>
        <v>0</v>
      </c>
      <c r="S26" s="1361"/>
      <c r="T26" s="1362">
        <f t="shared" si="7"/>
        <v>0</v>
      </c>
      <c r="U26" s="1364"/>
      <c r="V26" s="1363">
        <f t="shared" si="8"/>
        <v>0</v>
      </c>
      <c r="W26" s="1361"/>
      <c r="X26" s="1362">
        <f t="shared" si="9"/>
        <v>0</v>
      </c>
      <c r="Y26" s="1364"/>
      <c r="Z26" s="1363">
        <f t="shared" si="10"/>
        <v>0</v>
      </c>
      <c r="AA26" s="1361"/>
      <c r="AB26" s="1362">
        <f t="shared" si="11"/>
        <v>0</v>
      </c>
      <c r="AC26" s="1365">
        <f>'[2]Ventes St Sever'!$AD$131</f>
        <v>1.182</v>
      </c>
      <c r="AD26" s="1391"/>
      <c r="AE26" s="662">
        <f t="shared" si="16"/>
        <v>0.8180000000000001</v>
      </c>
      <c r="AF26" s="663">
        <f t="shared" si="17"/>
        <v>5.726000000000001</v>
      </c>
      <c r="AG26" s="664">
        <f t="shared" si="14"/>
        <v>14</v>
      </c>
      <c r="AH26" s="665">
        <f t="shared" si="18"/>
        <v>7</v>
      </c>
      <c r="AJ26" s="1357">
        <v>18</v>
      </c>
      <c r="AK26" s="1358"/>
    </row>
    <row r="27" spans="2:37" ht="20.25">
      <c r="B27" s="1434"/>
      <c r="C27" s="460" t="s">
        <v>182</v>
      </c>
      <c r="D27" s="1360">
        <v>2</v>
      </c>
      <c r="E27" s="1361">
        <v>3</v>
      </c>
      <c r="F27" s="1362">
        <f t="shared" si="0"/>
        <v>6</v>
      </c>
      <c r="G27" s="1361">
        <v>3</v>
      </c>
      <c r="H27" s="1362">
        <f t="shared" si="1"/>
        <v>6</v>
      </c>
      <c r="I27" s="1361">
        <v>4</v>
      </c>
      <c r="J27" s="1362">
        <f t="shared" si="2"/>
        <v>8</v>
      </c>
      <c r="K27" s="1361">
        <v>1</v>
      </c>
      <c r="L27" s="1362">
        <f t="shared" si="3"/>
        <v>2</v>
      </c>
      <c r="M27" s="1361">
        <v>2</v>
      </c>
      <c r="N27" s="1362">
        <f t="shared" si="4"/>
        <v>4</v>
      </c>
      <c r="O27" s="1361">
        <v>4</v>
      </c>
      <c r="P27" s="1362">
        <f t="shared" si="5"/>
        <v>8</v>
      </c>
      <c r="Q27" s="1361"/>
      <c r="R27" s="1363">
        <f t="shared" si="6"/>
        <v>0</v>
      </c>
      <c r="S27" s="1361"/>
      <c r="T27" s="1362">
        <f t="shared" si="7"/>
        <v>0</v>
      </c>
      <c r="U27" s="1364"/>
      <c r="V27" s="1363">
        <f t="shared" si="8"/>
        <v>0</v>
      </c>
      <c r="W27" s="1361"/>
      <c r="X27" s="1362">
        <f t="shared" si="9"/>
        <v>0</v>
      </c>
      <c r="Y27" s="1364"/>
      <c r="Z27" s="1363">
        <f t="shared" si="10"/>
        <v>0</v>
      </c>
      <c r="AA27" s="1361"/>
      <c r="AB27" s="1362">
        <f t="shared" si="11"/>
        <v>0</v>
      </c>
      <c r="AC27" s="1365">
        <f>'[2]Ventes St Sever'!$AD$132</f>
        <v>1.182</v>
      </c>
      <c r="AD27" s="1391"/>
      <c r="AE27" s="662">
        <f t="shared" si="16"/>
        <v>0.8180000000000001</v>
      </c>
      <c r="AF27" s="663">
        <f t="shared" si="17"/>
        <v>13.906</v>
      </c>
      <c r="AG27" s="664">
        <f t="shared" si="14"/>
        <v>34</v>
      </c>
      <c r="AH27" s="665">
        <f t="shared" si="18"/>
        <v>17</v>
      </c>
      <c r="AJ27" s="1357">
        <v>24</v>
      </c>
      <c r="AK27" s="1358"/>
    </row>
    <row r="28" spans="2:37" ht="20.25">
      <c r="B28" s="1434"/>
      <c r="C28" s="460" t="s">
        <v>183</v>
      </c>
      <c r="D28" s="1360">
        <v>2</v>
      </c>
      <c r="E28" s="1361"/>
      <c r="F28" s="1362">
        <f t="shared" si="0"/>
        <v>0</v>
      </c>
      <c r="G28" s="1361"/>
      <c r="H28" s="1362">
        <f t="shared" si="1"/>
        <v>0</v>
      </c>
      <c r="I28" s="1361">
        <v>1</v>
      </c>
      <c r="J28" s="1362">
        <f t="shared" si="2"/>
        <v>2</v>
      </c>
      <c r="K28" s="1361"/>
      <c r="L28" s="1362">
        <f t="shared" si="3"/>
        <v>0</v>
      </c>
      <c r="M28" s="1361">
        <v>1</v>
      </c>
      <c r="N28" s="1362">
        <f t="shared" si="4"/>
        <v>2</v>
      </c>
      <c r="O28" s="1361">
        <v>2</v>
      </c>
      <c r="P28" s="1362">
        <f t="shared" si="5"/>
        <v>4</v>
      </c>
      <c r="Q28" s="1361"/>
      <c r="R28" s="1363">
        <f t="shared" si="6"/>
        <v>0</v>
      </c>
      <c r="S28" s="1361"/>
      <c r="T28" s="1362">
        <f t="shared" si="7"/>
        <v>0</v>
      </c>
      <c r="U28" s="1364"/>
      <c r="V28" s="1363">
        <f t="shared" si="8"/>
        <v>0</v>
      </c>
      <c r="W28" s="1361"/>
      <c r="X28" s="1362">
        <f t="shared" si="9"/>
        <v>0</v>
      </c>
      <c r="Y28" s="1364"/>
      <c r="Z28" s="1363">
        <f t="shared" si="10"/>
        <v>0</v>
      </c>
      <c r="AA28" s="1361"/>
      <c r="AB28" s="1362">
        <f t="shared" si="11"/>
        <v>0</v>
      </c>
      <c r="AC28" s="1365">
        <f>'[2]Ventes St Sever'!$AD$133</f>
        <v>1.182</v>
      </c>
      <c r="AD28" s="1391"/>
      <c r="AE28" s="662">
        <f t="shared" si="16"/>
        <v>0.8180000000000001</v>
      </c>
      <c r="AF28" s="663">
        <f t="shared" si="17"/>
        <v>3.2720000000000002</v>
      </c>
      <c r="AG28" s="664">
        <f t="shared" si="14"/>
        <v>8</v>
      </c>
      <c r="AH28" s="665">
        <f t="shared" si="18"/>
        <v>4</v>
      </c>
      <c r="AJ28" s="1357">
        <v>18</v>
      </c>
      <c r="AK28" s="1358"/>
    </row>
    <row r="29" spans="2:38" ht="20.25">
      <c r="B29" s="1434"/>
      <c r="C29" s="460" t="s">
        <v>846</v>
      </c>
      <c r="D29" s="1360">
        <v>2</v>
      </c>
      <c r="E29" s="1361">
        <v>1</v>
      </c>
      <c r="F29" s="1362">
        <f t="shared" si="0"/>
        <v>2</v>
      </c>
      <c r="G29" s="1361"/>
      <c r="H29" s="1362">
        <f t="shared" si="1"/>
        <v>0</v>
      </c>
      <c r="I29" s="1361">
        <v>1</v>
      </c>
      <c r="J29" s="1362">
        <f t="shared" si="2"/>
        <v>2</v>
      </c>
      <c r="K29" s="1361"/>
      <c r="L29" s="1362">
        <f t="shared" si="3"/>
        <v>0</v>
      </c>
      <c r="M29" s="1361"/>
      <c r="N29" s="1362">
        <f t="shared" si="4"/>
        <v>0</v>
      </c>
      <c r="O29" s="1361">
        <v>1</v>
      </c>
      <c r="P29" s="1362">
        <f t="shared" si="5"/>
        <v>2</v>
      </c>
      <c r="Q29" s="1361"/>
      <c r="R29" s="1363">
        <f t="shared" si="6"/>
        <v>0</v>
      </c>
      <c r="S29" s="1361"/>
      <c r="T29" s="1362">
        <f t="shared" si="7"/>
        <v>0</v>
      </c>
      <c r="U29" s="1364"/>
      <c r="V29" s="1363">
        <f t="shared" si="8"/>
        <v>0</v>
      </c>
      <c r="W29" s="1361"/>
      <c r="X29" s="1362">
        <f t="shared" si="9"/>
        <v>0</v>
      </c>
      <c r="Y29" s="1364"/>
      <c r="Z29" s="1363">
        <f t="shared" si="10"/>
        <v>0</v>
      </c>
      <c r="AA29" s="1361"/>
      <c r="AB29" s="1362">
        <f t="shared" si="11"/>
        <v>0</v>
      </c>
      <c r="AC29" s="1365">
        <f>'[2]Ventes St Sever'!$AD$134</f>
        <v>1.182</v>
      </c>
      <c r="AD29" s="1391"/>
      <c r="AE29" s="662">
        <f t="shared" si="16"/>
        <v>0.8180000000000001</v>
      </c>
      <c r="AF29" s="663">
        <f t="shared" si="17"/>
        <v>2.454</v>
      </c>
      <c r="AG29" s="664">
        <f t="shared" si="14"/>
        <v>6</v>
      </c>
      <c r="AH29" s="665">
        <f t="shared" si="18"/>
        <v>3</v>
      </c>
      <c r="AJ29" s="1357">
        <v>2</v>
      </c>
      <c r="AK29" s="1358">
        <v>6</v>
      </c>
      <c r="AL29" t="s">
        <v>847</v>
      </c>
    </row>
    <row r="30" spans="2:37" ht="20.25">
      <c r="B30" s="1434"/>
      <c r="C30" s="460" t="s">
        <v>184</v>
      </c>
      <c r="D30" s="1360">
        <v>2</v>
      </c>
      <c r="E30" s="1361"/>
      <c r="F30" s="1362">
        <f t="shared" si="0"/>
        <v>0</v>
      </c>
      <c r="G30" s="1361"/>
      <c r="H30" s="1362">
        <f t="shared" si="1"/>
        <v>0</v>
      </c>
      <c r="I30" s="1361"/>
      <c r="J30" s="1362">
        <f t="shared" si="2"/>
        <v>0</v>
      </c>
      <c r="K30" s="1361">
        <v>1</v>
      </c>
      <c r="L30" s="1362">
        <f t="shared" si="3"/>
        <v>2</v>
      </c>
      <c r="M30" s="1361"/>
      <c r="N30" s="1362">
        <f t="shared" si="4"/>
        <v>0</v>
      </c>
      <c r="O30" s="1361"/>
      <c r="P30" s="1362">
        <f t="shared" si="5"/>
        <v>0</v>
      </c>
      <c r="Q30" s="1361"/>
      <c r="R30" s="1363">
        <f t="shared" si="6"/>
        <v>0</v>
      </c>
      <c r="S30" s="1361"/>
      <c r="T30" s="1362">
        <f t="shared" si="7"/>
        <v>0</v>
      </c>
      <c r="U30" s="1364"/>
      <c r="V30" s="1363">
        <f t="shared" si="8"/>
        <v>0</v>
      </c>
      <c r="W30" s="1361"/>
      <c r="X30" s="1362">
        <f t="shared" si="9"/>
        <v>0</v>
      </c>
      <c r="Y30" s="1364"/>
      <c r="Z30" s="1363">
        <f t="shared" si="10"/>
        <v>0</v>
      </c>
      <c r="AA30" s="1361"/>
      <c r="AB30" s="1362">
        <f t="shared" si="11"/>
        <v>0</v>
      </c>
      <c r="AC30" s="1365">
        <f>'[2]Ventes St Sever'!$AD$133</f>
        <v>1.182</v>
      </c>
      <c r="AD30" s="1391"/>
      <c r="AE30" s="662">
        <f t="shared" si="16"/>
        <v>0.8180000000000001</v>
      </c>
      <c r="AF30" s="663">
        <f t="shared" si="17"/>
        <v>0.8180000000000001</v>
      </c>
      <c r="AG30" s="664">
        <f t="shared" si="14"/>
        <v>2</v>
      </c>
      <c r="AH30" s="665">
        <f t="shared" si="18"/>
        <v>1</v>
      </c>
      <c r="AJ30" s="1357">
        <v>5</v>
      </c>
      <c r="AK30" s="1358"/>
    </row>
    <row r="31" spans="2:37" ht="20.25">
      <c r="B31" s="1434"/>
      <c r="C31" s="460" t="s">
        <v>848</v>
      </c>
      <c r="D31" s="1360">
        <v>2</v>
      </c>
      <c r="E31" s="1361"/>
      <c r="F31" s="1362">
        <f t="shared" si="0"/>
        <v>0</v>
      </c>
      <c r="G31" s="1361"/>
      <c r="H31" s="1362">
        <f t="shared" si="1"/>
        <v>0</v>
      </c>
      <c r="I31" s="1361">
        <v>1</v>
      </c>
      <c r="J31" s="1362">
        <f t="shared" si="2"/>
        <v>2</v>
      </c>
      <c r="K31" s="1361">
        <v>1</v>
      </c>
      <c r="L31" s="1362">
        <f t="shared" si="3"/>
        <v>2</v>
      </c>
      <c r="M31" s="1361"/>
      <c r="N31" s="1362">
        <f t="shared" si="4"/>
        <v>0</v>
      </c>
      <c r="O31" s="1361"/>
      <c r="P31" s="1362">
        <f t="shared" si="5"/>
        <v>0</v>
      </c>
      <c r="Q31" s="1361"/>
      <c r="R31" s="1363">
        <f t="shared" si="6"/>
        <v>0</v>
      </c>
      <c r="S31" s="1361"/>
      <c r="T31" s="1362">
        <f t="shared" si="7"/>
        <v>0</v>
      </c>
      <c r="U31" s="1364"/>
      <c r="V31" s="1363">
        <f t="shared" si="8"/>
        <v>0</v>
      </c>
      <c r="W31" s="1361"/>
      <c r="X31" s="1362">
        <f t="shared" si="9"/>
        <v>0</v>
      </c>
      <c r="Y31" s="1364"/>
      <c r="Z31" s="1363">
        <f t="shared" si="10"/>
        <v>0</v>
      </c>
      <c r="AA31" s="1361"/>
      <c r="AB31" s="1362">
        <f t="shared" si="11"/>
        <v>0</v>
      </c>
      <c r="AC31" s="1365">
        <v>1.18</v>
      </c>
      <c r="AD31" s="1391"/>
      <c r="AE31" s="662">
        <f t="shared" si="16"/>
        <v>0.8200000000000001</v>
      </c>
      <c r="AF31" s="663">
        <f t="shared" si="17"/>
        <v>1.6400000000000001</v>
      </c>
      <c r="AG31" s="664">
        <f t="shared" si="14"/>
        <v>4</v>
      </c>
      <c r="AH31" s="665">
        <f t="shared" si="18"/>
        <v>2</v>
      </c>
      <c r="AJ31" s="1357">
        <v>1</v>
      </c>
      <c r="AK31" s="1358"/>
    </row>
    <row r="32" spans="2:37" ht="20.25">
      <c r="B32" s="1434"/>
      <c r="C32" s="460" t="s">
        <v>185</v>
      </c>
      <c r="D32" s="1360">
        <v>2</v>
      </c>
      <c r="E32" s="1361"/>
      <c r="F32" s="1362">
        <f t="shared" si="0"/>
        <v>0</v>
      </c>
      <c r="G32" s="1361"/>
      <c r="H32" s="1362">
        <f t="shared" si="1"/>
        <v>0</v>
      </c>
      <c r="I32" s="1361"/>
      <c r="J32" s="1362">
        <f t="shared" si="2"/>
        <v>0</v>
      </c>
      <c r="K32" s="1361"/>
      <c r="L32" s="1362">
        <f t="shared" si="3"/>
        <v>0</v>
      </c>
      <c r="M32" s="1361"/>
      <c r="N32" s="1362">
        <f t="shared" si="4"/>
        <v>0</v>
      </c>
      <c r="O32" s="1361"/>
      <c r="P32" s="1362">
        <f t="shared" si="5"/>
        <v>0</v>
      </c>
      <c r="Q32" s="1361"/>
      <c r="R32" s="1363">
        <f t="shared" si="6"/>
        <v>0</v>
      </c>
      <c r="S32" s="1361"/>
      <c r="T32" s="1362">
        <f t="shared" si="7"/>
        <v>0</v>
      </c>
      <c r="U32" s="1364"/>
      <c r="V32" s="1363">
        <f t="shared" si="8"/>
        <v>0</v>
      </c>
      <c r="W32" s="1361"/>
      <c r="X32" s="1362">
        <f t="shared" si="9"/>
        <v>0</v>
      </c>
      <c r="Y32" s="1364"/>
      <c r="Z32" s="1363">
        <f t="shared" si="10"/>
        <v>0</v>
      </c>
      <c r="AA32" s="1361"/>
      <c r="AB32" s="1362">
        <f t="shared" si="11"/>
        <v>0</v>
      </c>
      <c r="AC32" s="1365">
        <f>'[2]Ventes St Sever'!$AD$134</f>
        <v>1.182</v>
      </c>
      <c r="AD32" s="1391"/>
      <c r="AE32" s="662">
        <f t="shared" si="16"/>
        <v>0.8180000000000001</v>
      </c>
      <c r="AF32" s="663">
        <f t="shared" si="17"/>
        <v>0</v>
      </c>
      <c r="AG32" s="664">
        <f t="shared" si="14"/>
        <v>0</v>
      </c>
      <c r="AH32" s="665">
        <f t="shared" si="18"/>
        <v>0</v>
      </c>
      <c r="AJ32" s="1357">
        <v>8</v>
      </c>
      <c r="AK32" s="1358"/>
    </row>
    <row r="33" spans="2:37" ht="20.25">
      <c r="B33" s="1434"/>
      <c r="C33" s="460" t="s">
        <v>186</v>
      </c>
      <c r="D33" s="1360">
        <v>2</v>
      </c>
      <c r="E33" s="1361"/>
      <c r="F33" s="1362">
        <f t="shared" si="0"/>
        <v>0</v>
      </c>
      <c r="G33" s="1361"/>
      <c r="H33" s="1362">
        <f t="shared" si="1"/>
        <v>0</v>
      </c>
      <c r="I33" s="1361"/>
      <c r="J33" s="1362">
        <f t="shared" si="2"/>
        <v>0</v>
      </c>
      <c r="K33" s="1361"/>
      <c r="L33" s="1362">
        <f t="shared" si="3"/>
        <v>0</v>
      </c>
      <c r="M33" s="1361"/>
      <c r="N33" s="1362">
        <f t="shared" si="4"/>
        <v>0</v>
      </c>
      <c r="O33" s="1361"/>
      <c r="P33" s="1362">
        <f t="shared" si="5"/>
        <v>0</v>
      </c>
      <c r="Q33" s="1361"/>
      <c r="R33" s="1363">
        <f t="shared" si="6"/>
        <v>0</v>
      </c>
      <c r="S33" s="1361"/>
      <c r="T33" s="1362">
        <f t="shared" si="7"/>
        <v>0</v>
      </c>
      <c r="U33" s="1364"/>
      <c r="V33" s="1363">
        <f t="shared" si="8"/>
        <v>0</v>
      </c>
      <c r="W33" s="1361"/>
      <c r="X33" s="1362">
        <f t="shared" si="9"/>
        <v>0</v>
      </c>
      <c r="Y33" s="1364"/>
      <c r="Z33" s="1363">
        <f t="shared" si="10"/>
        <v>0</v>
      </c>
      <c r="AA33" s="1361"/>
      <c r="AB33" s="1362">
        <f t="shared" si="11"/>
        <v>0</v>
      </c>
      <c r="AC33" s="1365">
        <f>'[2]Ventes St Sever'!$AD$135</f>
        <v>1.182</v>
      </c>
      <c r="AD33" s="1391"/>
      <c r="AE33" s="662">
        <f t="shared" si="16"/>
        <v>0.8180000000000001</v>
      </c>
      <c r="AF33" s="663">
        <f t="shared" si="17"/>
        <v>0</v>
      </c>
      <c r="AG33" s="664">
        <f t="shared" si="14"/>
        <v>0</v>
      </c>
      <c r="AH33" s="665">
        <f t="shared" si="18"/>
        <v>0</v>
      </c>
      <c r="AJ33" s="1357">
        <v>6</v>
      </c>
      <c r="AK33" s="1358"/>
    </row>
    <row r="34" spans="2:37" ht="20.25">
      <c r="B34" s="1434"/>
      <c r="C34" s="460" t="s">
        <v>187</v>
      </c>
      <c r="D34" s="1360">
        <v>2</v>
      </c>
      <c r="E34" s="1361"/>
      <c r="F34" s="1362">
        <f t="shared" si="0"/>
        <v>0</v>
      </c>
      <c r="G34" s="1361"/>
      <c r="H34" s="1362">
        <f t="shared" si="1"/>
        <v>0</v>
      </c>
      <c r="I34" s="1361"/>
      <c r="J34" s="1362">
        <f t="shared" si="2"/>
        <v>0</v>
      </c>
      <c r="K34" s="1361"/>
      <c r="L34" s="1362">
        <f t="shared" si="3"/>
        <v>0</v>
      </c>
      <c r="M34" s="1361"/>
      <c r="N34" s="1362">
        <f t="shared" si="4"/>
        <v>0</v>
      </c>
      <c r="O34" s="1361"/>
      <c r="P34" s="1362">
        <f t="shared" si="5"/>
        <v>0</v>
      </c>
      <c r="Q34" s="1361"/>
      <c r="R34" s="1363">
        <f t="shared" si="6"/>
        <v>0</v>
      </c>
      <c r="S34" s="1361"/>
      <c r="T34" s="1362">
        <f t="shared" si="7"/>
        <v>0</v>
      </c>
      <c r="U34" s="1364"/>
      <c r="V34" s="1363">
        <f t="shared" si="8"/>
        <v>0</v>
      </c>
      <c r="W34" s="1361"/>
      <c r="X34" s="1362">
        <f t="shared" si="9"/>
        <v>0</v>
      </c>
      <c r="Y34" s="1364"/>
      <c r="Z34" s="1363">
        <f t="shared" si="10"/>
        <v>0</v>
      </c>
      <c r="AA34" s="1361"/>
      <c r="AB34" s="1362">
        <f t="shared" si="11"/>
        <v>0</v>
      </c>
      <c r="AC34" s="1365">
        <f>'[2]Ventes St Sever'!$AD$136</f>
        <v>1.182</v>
      </c>
      <c r="AD34" s="1391"/>
      <c r="AE34" s="662">
        <f t="shared" si="16"/>
        <v>0.8180000000000001</v>
      </c>
      <c r="AF34" s="663">
        <f t="shared" si="17"/>
        <v>0</v>
      </c>
      <c r="AG34" s="664">
        <f t="shared" si="14"/>
        <v>0</v>
      </c>
      <c r="AH34" s="665">
        <f t="shared" si="18"/>
        <v>0</v>
      </c>
      <c r="AJ34" s="1357">
        <v>10</v>
      </c>
      <c r="AK34" s="1358"/>
    </row>
    <row r="35" spans="2:37" ht="20.25">
      <c r="B35" s="1434"/>
      <c r="C35" s="460" t="s">
        <v>188</v>
      </c>
      <c r="D35" s="1360">
        <v>2</v>
      </c>
      <c r="E35" s="1361">
        <v>1</v>
      </c>
      <c r="F35" s="1362">
        <f t="shared" si="0"/>
        <v>2</v>
      </c>
      <c r="G35" s="1361"/>
      <c r="H35" s="1362">
        <f t="shared" si="1"/>
        <v>0</v>
      </c>
      <c r="I35" s="1361"/>
      <c r="J35" s="1362">
        <f t="shared" si="2"/>
        <v>0</v>
      </c>
      <c r="K35" s="1361"/>
      <c r="L35" s="1362">
        <f t="shared" si="3"/>
        <v>0</v>
      </c>
      <c r="M35" s="1361"/>
      <c r="N35" s="1362">
        <f t="shared" si="4"/>
        <v>0</v>
      </c>
      <c r="O35" s="1361"/>
      <c r="P35" s="1362">
        <f t="shared" si="5"/>
        <v>0</v>
      </c>
      <c r="Q35" s="1361"/>
      <c r="R35" s="1363">
        <f t="shared" si="6"/>
        <v>0</v>
      </c>
      <c r="S35" s="1361"/>
      <c r="T35" s="1362">
        <f t="shared" si="7"/>
        <v>0</v>
      </c>
      <c r="U35" s="1364"/>
      <c r="V35" s="1363">
        <f t="shared" si="8"/>
        <v>0</v>
      </c>
      <c r="W35" s="1361"/>
      <c r="X35" s="1362">
        <f t="shared" si="9"/>
        <v>0</v>
      </c>
      <c r="Y35" s="1364"/>
      <c r="Z35" s="1363">
        <f t="shared" si="10"/>
        <v>0</v>
      </c>
      <c r="AA35" s="1361"/>
      <c r="AB35" s="1362">
        <f t="shared" si="11"/>
        <v>0</v>
      </c>
      <c r="AC35" s="1365">
        <f>'[2]Ventes St Sever'!$AD$137</f>
        <v>1.182</v>
      </c>
      <c r="AD35" s="1391"/>
      <c r="AE35" s="662">
        <f t="shared" si="16"/>
        <v>0.8180000000000001</v>
      </c>
      <c r="AF35" s="663">
        <f t="shared" si="17"/>
        <v>0.8180000000000001</v>
      </c>
      <c r="AG35" s="664">
        <f t="shared" si="14"/>
        <v>2</v>
      </c>
      <c r="AH35" s="665">
        <f t="shared" si="18"/>
        <v>1</v>
      </c>
      <c r="AJ35" s="1357">
        <v>8</v>
      </c>
      <c r="AK35" s="1358"/>
    </row>
    <row r="36" spans="2:37" ht="20.25">
      <c r="B36" s="1434"/>
      <c r="C36" s="460" t="s">
        <v>189</v>
      </c>
      <c r="D36" s="1360">
        <v>2</v>
      </c>
      <c r="E36" s="1361"/>
      <c r="F36" s="1362">
        <f t="shared" si="0"/>
        <v>0</v>
      </c>
      <c r="G36" s="1361"/>
      <c r="H36" s="1362">
        <f t="shared" si="1"/>
        <v>0</v>
      </c>
      <c r="I36" s="1361"/>
      <c r="J36" s="1362">
        <f t="shared" si="2"/>
        <v>0</v>
      </c>
      <c r="K36" s="1361"/>
      <c r="L36" s="1362">
        <f t="shared" si="3"/>
        <v>0</v>
      </c>
      <c r="M36" s="1361"/>
      <c r="N36" s="1362">
        <f t="shared" si="4"/>
        <v>0</v>
      </c>
      <c r="O36" s="1361"/>
      <c r="P36" s="1362">
        <f t="shared" si="5"/>
        <v>0</v>
      </c>
      <c r="Q36" s="1361"/>
      <c r="R36" s="1363">
        <f t="shared" si="6"/>
        <v>0</v>
      </c>
      <c r="S36" s="1361"/>
      <c r="T36" s="1362">
        <f t="shared" si="7"/>
        <v>0</v>
      </c>
      <c r="U36" s="1364"/>
      <c r="V36" s="1363">
        <f t="shared" si="8"/>
        <v>0</v>
      </c>
      <c r="W36" s="1361"/>
      <c r="X36" s="1362">
        <f t="shared" si="9"/>
        <v>0</v>
      </c>
      <c r="Y36" s="1364"/>
      <c r="Z36" s="1363">
        <f t="shared" si="10"/>
        <v>0</v>
      </c>
      <c r="AA36" s="1361"/>
      <c r="AB36" s="1362">
        <f t="shared" si="11"/>
        <v>0</v>
      </c>
      <c r="AC36" s="1365">
        <v>1.18</v>
      </c>
      <c r="AD36" s="1391"/>
      <c r="AE36" s="662">
        <f t="shared" si="16"/>
        <v>0.8200000000000001</v>
      </c>
      <c r="AF36" s="663">
        <f t="shared" si="17"/>
        <v>0</v>
      </c>
      <c r="AG36" s="664">
        <f t="shared" si="14"/>
        <v>0</v>
      </c>
      <c r="AH36" s="665">
        <f t="shared" si="18"/>
        <v>0</v>
      </c>
      <c r="AJ36" s="1357">
        <v>6</v>
      </c>
      <c r="AK36" s="1358"/>
    </row>
    <row r="37" spans="2:37" ht="20.25">
      <c r="B37" s="1434"/>
      <c r="C37" s="460" t="s">
        <v>190</v>
      </c>
      <c r="D37" s="1360">
        <v>2</v>
      </c>
      <c r="E37" s="1361"/>
      <c r="F37" s="1362">
        <f t="shared" si="0"/>
        <v>0</v>
      </c>
      <c r="G37" s="1361"/>
      <c r="H37" s="1362">
        <f t="shared" si="1"/>
        <v>0</v>
      </c>
      <c r="I37" s="1361"/>
      <c r="J37" s="1362">
        <f t="shared" si="2"/>
        <v>0</v>
      </c>
      <c r="K37" s="1361"/>
      <c r="L37" s="1362">
        <f t="shared" si="3"/>
        <v>0</v>
      </c>
      <c r="M37" s="1361"/>
      <c r="N37" s="1362">
        <f t="shared" si="4"/>
        <v>0</v>
      </c>
      <c r="O37" s="1361"/>
      <c r="P37" s="1362">
        <f t="shared" si="5"/>
        <v>0</v>
      </c>
      <c r="Q37" s="1361"/>
      <c r="R37" s="1363">
        <f t="shared" si="6"/>
        <v>0</v>
      </c>
      <c r="S37" s="1361"/>
      <c r="T37" s="1362">
        <f t="shared" si="7"/>
        <v>0</v>
      </c>
      <c r="U37" s="1364"/>
      <c r="V37" s="1363">
        <f t="shared" si="8"/>
        <v>0</v>
      </c>
      <c r="W37" s="1361"/>
      <c r="X37" s="1362">
        <f t="shared" si="9"/>
        <v>0</v>
      </c>
      <c r="Y37" s="1364"/>
      <c r="Z37" s="1363">
        <f t="shared" si="10"/>
        <v>0</v>
      </c>
      <c r="AA37" s="1361"/>
      <c r="AB37" s="1362">
        <f t="shared" si="11"/>
        <v>0</v>
      </c>
      <c r="AC37" s="1365">
        <v>1.18</v>
      </c>
      <c r="AD37" s="1391"/>
      <c r="AE37" s="662">
        <f t="shared" si="16"/>
        <v>0.8200000000000001</v>
      </c>
      <c r="AF37" s="663">
        <f t="shared" si="17"/>
        <v>0</v>
      </c>
      <c r="AG37" s="664">
        <f t="shared" si="14"/>
        <v>0</v>
      </c>
      <c r="AH37" s="665">
        <f t="shared" si="18"/>
        <v>0</v>
      </c>
      <c r="AJ37" s="1357">
        <v>7</v>
      </c>
      <c r="AK37" s="1358"/>
    </row>
    <row r="38" spans="2:37" ht="20.25">
      <c r="B38" s="1434"/>
      <c r="C38" s="460" t="s">
        <v>191</v>
      </c>
      <c r="D38" s="1360">
        <v>2</v>
      </c>
      <c r="E38" s="1361">
        <v>1</v>
      </c>
      <c r="F38" s="1362">
        <f t="shared" si="0"/>
        <v>2</v>
      </c>
      <c r="G38" s="1361"/>
      <c r="H38" s="1362">
        <f t="shared" si="1"/>
        <v>0</v>
      </c>
      <c r="I38" s="1361"/>
      <c r="J38" s="1362">
        <f t="shared" si="2"/>
        <v>0</v>
      </c>
      <c r="K38" s="1361"/>
      <c r="L38" s="1362">
        <f t="shared" si="3"/>
        <v>0</v>
      </c>
      <c r="M38" s="1361"/>
      <c r="N38" s="1362">
        <f t="shared" si="4"/>
        <v>0</v>
      </c>
      <c r="O38" s="1361"/>
      <c r="P38" s="1362">
        <f t="shared" si="5"/>
        <v>0</v>
      </c>
      <c r="Q38" s="1361"/>
      <c r="R38" s="1363">
        <f t="shared" si="6"/>
        <v>0</v>
      </c>
      <c r="S38" s="1361"/>
      <c r="T38" s="1362">
        <f t="shared" si="7"/>
        <v>0</v>
      </c>
      <c r="U38" s="1364"/>
      <c r="V38" s="1363">
        <f t="shared" si="8"/>
        <v>0</v>
      </c>
      <c r="W38" s="1361"/>
      <c r="X38" s="1362">
        <f t="shared" si="9"/>
        <v>0</v>
      </c>
      <c r="Y38" s="1364"/>
      <c r="Z38" s="1363">
        <f t="shared" si="10"/>
        <v>0</v>
      </c>
      <c r="AA38" s="1361"/>
      <c r="AB38" s="1362">
        <f t="shared" si="11"/>
        <v>0</v>
      </c>
      <c r="AC38" s="1365">
        <v>1.18</v>
      </c>
      <c r="AD38" s="1391"/>
      <c r="AE38" s="662">
        <f t="shared" si="16"/>
        <v>0.8200000000000001</v>
      </c>
      <c r="AF38" s="663">
        <f t="shared" si="17"/>
        <v>0.8200000000000001</v>
      </c>
      <c r="AG38" s="664">
        <f t="shared" si="14"/>
        <v>2</v>
      </c>
      <c r="AH38" s="665">
        <f t="shared" si="18"/>
        <v>1</v>
      </c>
      <c r="AJ38" s="1357">
        <v>6</v>
      </c>
      <c r="AK38" s="1358"/>
    </row>
    <row r="39" spans="2:37" ht="20.25">
      <c r="B39" s="1434"/>
      <c r="C39" s="460" t="s">
        <v>192</v>
      </c>
      <c r="D39" s="1360">
        <v>2</v>
      </c>
      <c r="E39" s="1361">
        <v>1</v>
      </c>
      <c r="F39" s="1362">
        <f t="shared" si="0"/>
        <v>2</v>
      </c>
      <c r="G39" s="1361"/>
      <c r="H39" s="1362">
        <f t="shared" si="1"/>
        <v>0</v>
      </c>
      <c r="I39" s="1361"/>
      <c r="J39" s="1362">
        <f t="shared" si="2"/>
        <v>0</v>
      </c>
      <c r="K39" s="1361"/>
      <c r="L39" s="1362">
        <f t="shared" si="3"/>
        <v>0</v>
      </c>
      <c r="M39" s="1361"/>
      <c r="N39" s="1362">
        <f t="shared" si="4"/>
        <v>0</v>
      </c>
      <c r="O39" s="1361"/>
      <c r="P39" s="1362">
        <f t="shared" si="5"/>
        <v>0</v>
      </c>
      <c r="Q39" s="1361"/>
      <c r="R39" s="1363">
        <f t="shared" si="6"/>
        <v>0</v>
      </c>
      <c r="S39" s="1361"/>
      <c r="T39" s="1362">
        <f t="shared" si="7"/>
        <v>0</v>
      </c>
      <c r="U39" s="1364"/>
      <c r="V39" s="1363">
        <f t="shared" si="8"/>
        <v>0</v>
      </c>
      <c r="W39" s="1361"/>
      <c r="X39" s="1362">
        <f t="shared" si="9"/>
        <v>0</v>
      </c>
      <c r="Y39" s="1364"/>
      <c r="Z39" s="1363">
        <f t="shared" si="10"/>
        <v>0</v>
      </c>
      <c r="AA39" s="1361"/>
      <c r="AB39" s="1362">
        <f t="shared" si="11"/>
        <v>0</v>
      </c>
      <c r="AC39" s="1365">
        <v>1.18</v>
      </c>
      <c r="AD39" s="1391"/>
      <c r="AE39" s="662">
        <f t="shared" si="16"/>
        <v>0.8200000000000001</v>
      </c>
      <c r="AF39" s="663">
        <f t="shared" si="17"/>
        <v>0.8200000000000001</v>
      </c>
      <c r="AG39" s="664">
        <f t="shared" si="14"/>
        <v>2</v>
      </c>
      <c r="AH39" s="665">
        <f t="shared" si="18"/>
        <v>1</v>
      </c>
      <c r="AJ39" s="1357">
        <v>4</v>
      </c>
      <c r="AK39" s="1358"/>
    </row>
    <row r="40" spans="2:37" ht="20.25">
      <c r="B40" s="1434"/>
      <c r="C40" s="460" t="s">
        <v>193</v>
      </c>
      <c r="D40" s="1360">
        <v>2</v>
      </c>
      <c r="E40" s="1361"/>
      <c r="F40" s="1362">
        <f t="shared" si="0"/>
        <v>0</v>
      </c>
      <c r="G40" s="1361"/>
      <c r="H40" s="1362">
        <f t="shared" si="1"/>
        <v>0</v>
      </c>
      <c r="I40" s="1361"/>
      <c r="J40" s="1362">
        <f t="shared" si="2"/>
        <v>0</v>
      </c>
      <c r="K40" s="1361">
        <v>1</v>
      </c>
      <c r="L40" s="1362">
        <f t="shared" si="3"/>
        <v>2</v>
      </c>
      <c r="M40" s="1361"/>
      <c r="N40" s="1362">
        <f t="shared" si="4"/>
        <v>0</v>
      </c>
      <c r="O40" s="1361"/>
      <c r="P40" s="1362">
        <f t="shared" si="5"/>
        <v>0</v>
      </c>
      <c r="Q40" s="1361"/>
      <c r="R40" s="1363">
        <f t="shared" si="6"/>
        <v>0</v>
      </c>
      <c r="S40" s="1361"/>
      <c r="T40" s="1362">
        <f t="shared" si="7"/>
        <v>0</v>
      </c>
      <c r="U40" s="1364"/>
      <c r="V40" s="1363">
        <f t="shared" si="8"/>
        <v>0</v>
      </c>
      <c r="W40" s="1361"/>
      <c r="X40" s="1362">
        <f t="shared" si="9"/>
        <v>0</v>
      </c>
      <c r="Y40" s="1364"/>
      <c r="Z40" s="1363">
        <f t="shared" si="10"/>
        <v>0</v>
      </c>
      <c r="AA40" s="1361"/>
      <c r="AB40" s="1362">
        <f t="shared" si="11"/>
        <v>0</v>
      </c>
      <c r="AC40" s="1365">
        <v>1.18</v>
      </c>
      <c r="AD40" s="1391"/>
      <c r="AE40" s="662">
        <f t="shared" si="16"/>
        <v>0.8200000000000001</v>
      </c>
      <c r="AF40" s="663">
        <f t="shared" si="17"/>
        <v>0.8200000000000001</v>
      </c>
      <c r="AG40" s="664">
        <f t="shared" si="14"/>
        <v>2</v>
      </c>
      <c r="AH40" s="665">
        <f t="shared" si="18"/>
        <v>1</v>
      </c>
      <c r="AJ40" s="1357">
        <v>3</v>
      </c>
      <c r="AK40" s="1358"/>
    </row>
    <row r="41" spans="2:37" ht="20.25">
      <c r="B41" s="1434"/>
      <c r="C41" s="460" t="s">
        <v>194</v>
      </c>
      <c r="D41" s="1360">
        <v>2</v>
      </c>
      <c r="E41" s="1361"/>
      <c r="F41" s="1362">
        <f t="shared" si="0"/>
        <v>0</v>
      </c>
      <c r="G41" s="1361"/>
      <c r="H41" s="1362">
        <f t="shared" si="1"/>
        <v>0</v>
      </c>
      <c r="I41" s="1361"/>
      <c r="J41" s="1362">
        <f t="shared" si="2"/>
        <v>0</v>
      </c>
      <c r="K41" s="1361"/>
      <c r="L41" s="1362">
        <f t="shared" si="3"/>
        <v>0</v>
      </c>
      <c r="M41" s="1361"/>
      <c r="N41" s="1362">
        <f t="shared" si="4"/>
        <v>0</v>
      </c>
      <c r="O41" s="1361">
        <v>1</v>
      </c>
      <c r="P41" s="1362">
        <f t="shared" si="5"/>
        <v>2</v>
      </c>
      <c r="Q41" s="1361"/>
      <c r="R41" s="1363">
        <f t="shared" si="6"/>
        <v>0</v>
      </c>
      <c r="S41" s="1361"/>
      <c r="T41" s="1362">
        <f t="shared" si="7"/>
        <v>0</v>
      </c>
      <c r="U41" s="1364"/>
      <c r="V41" s="1363">
        <f t="shared" si="8"/>
        <v>0</v>
      </c>
      <c r="W41" s="1361"/>
      <c r="X41" s="1362">
        <f t="shared" si="9"/>
        <v>0</v>
      </c>
      <c r="Y41" s="1364"/>
      <c r="Z41" s="1363">
        <f t="shared" si="10"/>
        <v>0</v>
      </c>
      <c r="AA41" s="1361"/>
      <c r="AB41" s="1362">
        <f t="shared" si="11"/>
        <v>0</v>
      </c>
      <c r="AC41" s="1365">
        <f>'[2]Ventes St Sever'!$AD$139</f>
        <v>1.182</v>
      </c>
      <c r="AD41" s="1391"/>
      <c r="AE41" s="662">
        <f t="shared" si="16"/>
        <v>0.8180000000000001</v>
      </c>
      <c r="AF41" s="663">
        <f t="shared" si="17"/>
        <v>0.8180000000000001</v>
      </c>
      <c r="AG41" s="664">
        <f t="shared" si="14"/>
        <v>2</v>
      </c>
      <c r="AH41" s="665">
        <f t="shared" si="18"/>
        <v>1</v>
      </c>
      <c r="AJ41" s="1357">
        <v>7</v>
      </c>
      <c r="AK41" s="1358"/>
    </row>
    <row r="42" spans="2:37" ht="20.25">
      <c r="B42" s="1434"/>
      <c r="C42" s="460" t="s">
        <v>195</v>
      </c>
      <c r="D42" s="1360">
        <v>2</v>
      </c>
      <c r="E42" s="1361"/>
      <c r="F42" s="1362">
        <f t="shared" si="0"/>
        <v>0</v>
      </c>
      <c r="G42" s="1361">
        <v>2</v>
      </c>
      <c r="H42" s="1362">
        <f t="shared" si="1"/>
        <v>4</v>
      </c>
      <c r="I42" s="1361"/>
      <c r="J42" s="1362">
        <f t="shared" si="2"/>
        <v>0</v>
      </c>
      <c r="K42" s="1361"/>
      <c r="L42" s="1362">
        <f t="shared" si="3"/>
        <v>0</v>
      </c>
      <c r="M42" s="1361">
        <v>2</v>
      </c>
      <c r="N42" s="1362">
        <f t="shared" si="4"/>
        <v>4</v>
      </c>
      <c r="O42" s="1361"/>
      <c r="P42" s="1362">
        <f t="shared" si="5"/>
        <v>0</v>
      </c>
      <c r="Q42" s="1361"/>
      <c r="R42" s="1363">
        <f t="shared" si="6"/>
        <v>0</v>
      </c>
      <c r="S42" s="1361"/>
      <c r="T42" s="1362">
        <f t="shared" si="7"/>
        <v>0</v>
      </c>
      <c r="U42" s="1364"/>
      <c r="V42" s="1363">
        <f t="shared" si="8"/>
        <v>0</v>
      </c>
      <c r="W42" s="1361"/>
      <c r="X42" s="1362">
        <f t="shared" si="9"/>
        <v>0</v>
      </c>
      <c r="Y42" s="1364"/>
      <c r="Z42" s="1363">
        <f t="shared" si="10"/>
        <v>0</v>
      </c>
      <c r="AA42" s="1361"/>
      <c r="AB42" s="1362">
        <f t="shared" si="11"/>
        <v>0</v>
      </c>
      <c r="AC42" s="1365">
        <f>'[2]Ventes St Sever'!$AD$140</f>
        <v>1.182</v>
      </c>
      <c r="AD42" s="1391"/>
      <c r="AE42" s="662">
        <f t="shared" si="16"/>
        <v>0.8180000000000001</v>
      </c>
      <c r="AF42" s="663">
        <f t="shared" si="17"/>
        <v>3.2720000000000002</v>
      </c>
      <c r="AG42" s="664">
        <f t="shared" si="14"/>
        <v>8</v>
      </c>
      <c r="AH42" s="665">
        <f t="shared" si="18"/>
        <v>4</v>
      </c>
      <c r="AJ42" s="1357">
        <v>10</v>
      </c>
      <c r="AK42" s="1358"/>
    </row>
    <row r="43" spans="2:37" ht="20.25">
      <c r="B43" s="1434"/>
      <c r="C43" s="460" t="s">
        <v>196</v>
      </c>
      <c r="D43" s="1360">
        <v>10</v>
      </c>
      <c r="E43" s="1361"/>
      <c r="F43" s="1362">
        <f t="shared" si="0"/>
        <v>0</v>
      </c>
      <c r="G43" s="1361"/>
      <c r="H43" s="1362">
        <f t="shared" si="1"/>
        <v>0</v>
      </c>
      <c r="I43" s="1361"/>
      <c r="J43" s="1362">
        <f t="shared" si="2"/>
        <v>0</v>
      </c>
      <c r="K43" s="1361"/>
      <c r="L43" s="1362">
        <f t="shared" si="3"/>
        <v>0</v>
      </c>
      <c r="M43" s="1361"/>
      <c r="N43" s="1362">
        <f t="shared" si="4"/>
        <v>0</v>
      </c>
      <c r="O43" s="1361"/>
      <c r="P43" s="1362">
        <f t="shared" si="5"/>
        <v>0</v>
      </c>
      <c r="Q43" s="1361"/>
      <c r="R43" s="1363">
        <f t="shared" si="6"/>
        <v>0</v>
      </c>
      <c r="S43" s="1361"/>
      <c r="T43" s="1362">
        <f t="shared" si="7"/>
        <v>0</v>
      </c>
      <c r="U43" s="1364"/>
      <c r="V43" s="1363">
        <f t="shared" si="8"/>
        <v>0</v>
      </c>
      <c r="W43" s="1361"/>
      <c r="X43" s="1362">
        <f t="shared" si="9"/>
        <v>0</v>
      </c>
      <c r="Y43" s="1364"/>
      <c r="Z43" s="1363">
        <f t="shared" si="10"/>
        <v>0</v>
      </c>
      <c r="AA43" s="1361"/>
      <c r="AB43" s="1362">
        <f t="shared" si="11"/>
        <v>0</v>
      </c>
      <c r="AC43" s="1365"/>
      <c r="AD43" s="1391"/>
      <c r="AE43" s="662">
        <f t="shared" si="16"/>
        <v>10</v>
      </c>
      <c r="AF43" s="663">
        <f t="shared" si="17"/>
        <v>0</v>
      </c>
      <c r="AG43" s="664">
        <f t="shared" si="14"/>
        <v>0</v>
      </c>
      <c r="AH43" s="665">
        <f t="shared" si="18"/>
        <v>0</v>
      </c>
      <c r="AJ43" s="1357">
        <v>0</v>
      </c>
      <c r="AK43" s="1358"/>
    </row>
    <row r="44" spans="2:37" ht="28.5">
      <c r="B44" s="1434"/>
      <c r="C44" s="460" t="s">
        <v>197</v>
      </c>
      <c r="D44" s="1360">
        <v>2</v>
      </c>
      <c r="E44" s="1361"/>
      <c r="F44" s="1362">
        <f t="shared" si="0"/>
        <v>0</v>
      </c>
      <c r="G44" s="1361"/>
      <c r="H44" s="1362">
        <f t="shared" si="1"/>
        <v>0</v>
      </c>
      <c r="I44" s="1361"/>
      <c r="J44" s="1362">
        <f t="shared" si="2"/>
        <v>0</v>
      </c>
      <c r="K44" s="1361"/>
      <c r="L44" s="1362">
        <f t="shared" si="3"/>
        <v>0</v>
      </c>
      <c r="M44" s="1361">
        <v>2</v>
      </c>
      <c r="N44" s="1362">
        <f t="shared" si="4"/>
        <v>4</v>
      </c>
      <c r="O44" s="1361"/>
      <c r="P44" s="1362">
        <f t="shared" si="5"/>
        <v>0</v>
      </c>
      <c r="Q44" s="1361"/>
      <c r="R44" s="1363">
        <f t="shared" si="6"/>
        <v>0</v>
      </c>
      <c r="S44" s="1361"/>
      <c r="T44" s="1362">
        <f t="shared" si="7"/>
        <v>0</v>
      </c>
      <c r="U44" s="1364"/>
      <c r="V44" s="1363">
        <f t="shared" si="8"/>
        <v>0</v>
      </c>
      <c r="W44" s="1361"/>
      <c r="X44" s="1362">
        <f t="shared" si="9"/>
        <v>0</v>
      </c>
      <c r="Y44" s="1364"/>
      <c r="Z44" s="1363">
        <f t="shared" si="10"/>
        <v>0</v>
      </c>
      <c r="AA44" s="1361"/>
      <c r="AB44" s="1362">
        <f t="shared" si="11"/>
        <v>0</v>
      </c>
      <c r="AC44" s="1365">
        <f>'[2]Ventes St Sever'!$AD$141</f>
        <v>1.182</v>
      </c>
      <c r="AD44" s="1391"/>
      <c r="AE44" s="662">
        <f t="shared" si="16"/>
        <v>0.8180000000000001</v>
      </c>
      <c r="AF44" s="663">
        <f t="shared" si="17"/>
        <v>1.6360000000000001</v>
      </c>
      <c r="AG44" s="664">
        <f t="shared" si="14"/>
        <v>4</v>
      </c>
      <c r="AH44" s="665">
        <f t="shared" si="18"/>
        <v>2</v>
      </c>
      <c r="AJ44" s="1357">
        <v>6</v>
      </c>
      <c r="AK44" s="1358"/>
    </row>
    <row r="45" spans="2:37" ht="29.25">
      <c r="B45" s="1434"/>
      <c r="C45" s="529" t="s">
        <v>849</v>
      </c>
      <c r="D45" s="540">
        <v>2</v>
      </c>
      <c r="E45" s="1366"/>
      <c r="F45" s="1362">
        <f t="shared" si="0"/>
        <v>0</v>
      </c>
      <c r="G45" s="1366">
        <v>1</v>
      </c>
      <c r="H45" s="1362">
        <f t="shared" si="1"/>
        <v>2</v>
      </c>
      <c r="I45" s="1366"/>
      <c r="J45" s="1362">
        <f t="shared" si="2"/>
        <v>0</v>
      </c>
      <c r="K45" s="1366"/>
      <c r="L45" s="1362">
        <f t="shared" si="3"/>
        <v>0</v>
      </c>
      <c r="M45" s="1366">
        <v>1</v>
      </c>
      <c r="N45" s="1362">
        <f t="shared" si="4"/>
        <v>2</v>
      </c>
      <c r="O45" s="1366"/>
      <c r="P45" s="1362">
        <f t="shared" si="5"/>
        <v>0</v>
      </c>
      <c r="Q45" s="1366"/>
      <c r="R45" s="1363">
        <f t="shared" si="6"/>
        <v>0</v>
      </c>
      <c r="S45" s="1366"/>
      <c r="T45" s="1362">
        <f t="shared" si="7"/>
        <v>0</v>
      </c>
      <c r="U45" s="1369"/>
      <c r="V45" s="1363">
        <f t="shared" si="8"/>
        <v>0</v>
      </c>
      <c r="W45" s="1366"/>
      <c r="X45" s="1362">
        <f t="shared" si="9"/>
        <v>0</v>
      </c>
      <c r="Y45" s="1369"/>
      <c r="Z45" s="1363">
        <f t="shared" si="10"/>
        <v>0</v>
      </c>
      <c r="AA45" s="1366"/>
      <c r="AB45" s="1362">
        <f t="shared" si="11"/>
        <v>0</v>
      </c>
      <c r="AC45" s="1370">
        <f>'[2]Ventes St Sever'!$AD$142</f>
        <v>1.182</v>
      </c>
      <c r="AD45" s="1391"/>
      <c r="AE45" s="1080">
        <f t="shared" si="16"/>
        <v>0.8180000000000001</v>
      </c>
      <c r="AF45" s="902">
        <f t="shared" si="17"/>
        <v>1.6360000000000001</v>
      </c>
      <c r="AG45" s="914">
        <f t="shared" si="14"/>
        <v>4</v>
      </c>
      <c r="AH45" s="915">
        <f t="shared" si="18"/>
        <v>2</v>
      </c>
      <c r="AJ45" s="1357">
        <v>6</v>
      </c>
      <c r="AK45" s="1358"/>
    </row>
    <row r="46" spans="2:37" ht="21">
      <c r="B46" s="1434" t="s">
        <v>850</v>
      </c>
      <c r="C46" s="528" t="s">
        <v>200</v>
      </c>
      <c r="D46" s="1371">
        <v>10</v>
      </c>
      <c r="E46" s="1349"/>
      <c r="F46" s="1350">
        <f t="shared" si="0"/>
        <v>0</v>
      </c>
      <c r="G46" s="1349"/>
      <c r="H46" s="1350">
        <f t="shared" si="1"/>
        <v>0</v>
      </c>
      <c r="I46" s="1349"/>
      <c r="J46" s="1350">
        <f t="shared" si="2"/>
        <v>0</v>
      </c>
      <c r="K46" s="1349"/>
      <c r="L46" s="1350">
        <f t="shared" si="3"/>
        <v>0</v>
      </c>
      <c r="M46" s="1349"/>
      <c r="N46" s="1350">
        <f t="shared" si="4"/>
        <v>0</v>
      </c>
      <c r="O46" s="1349"/>
      <c r="P46" s="1350">
        <f t="shared" si="5"/>
        <v>0</v>
      </c>
      <c r="Q46" s="1349"/>
      <c r="R46" s="1351">
        <f t="shared" si="6"/>
        <v>0</v>
      </c>
      <c r="S46" s="1349"/>
      <c r="T46" s="1350">
        <f t="shared" si="7"/>
        <v>0</v>
      </c>
      <c r="U46" s="1352"/>
      <c r="V46" s="1351">
        <f t="shared" si="8"/>
        <v>0</v>
      </c>
      <c r="W46" s="1349"/>
      <c r="X46" s="1350">
        <f t="shared" si="9"/>
        <v>0</v>
      </c>
      <c r="Y46" s="1352"/>
      <c r="Z46" s="1351">
        <f t="shared" si="10"/>
        <v>0</v>
      </c>
      <c r="AA46" s="1349"/>
      <c r="AB46" s="1350">
        <f t="shared" si="11"/>
        <v>0</v>
      </c>
      <c r="AC46" s="1353"/>
      <c r="AD46" s="1391"/>
      <c r="AE46" s="1206">
        <f t="shared" si="16"/>
        <v>10</v>
      </c>
      <c r="AF46" s="1355">
        <f t="shared" si="17"/>
        <v>0</v>
      </c>
      <c r="AG46" s="1356">
        <f t="shared" si="14"/>
        <v>0</v>
      </c>
      <c r="AH46" s="804">
        <f t="shared" si="18"/>
        <v>0</v>
      </c>
      <c r="AJ46" s="1357">
        <v>20</v>
      </c>
      <c r="AK46" s="1358"/>
    </row>
    <row r="47" spans="2:37" ht="29.25">
      <c r="B47" s="1434"/>
      <c r="C47" s="529" t="s">
        <v>851</v>
      </c>
      <c r="D47" s="540">
        <v>10</v>
      </c>
      <c r="E47" s="1366"/>
      <c r="F47" s="1367">
        <f>D47*E47</f>
        <v>0</v>
      </c>
      <c r="G47" s="1366"/>
      <c r="H47" s="1367">
        <f t="shared" si="1"/>
        <v>0</v>
      </c>
      <c r="I47" s="1366"/>
      <c r="J47" s="1367">
        <f t="shared" si="2"/>
        <v>0</v>
      </c>
      <c r="K47" s="1366"/>
      <c r="L47" s="1367">
        <f t="shared" si="3"/>
        <v>0</v>
      </c>
      <c r="M47" s="1366"/>
      <c r="N47" s="1367">
        <f t="shared" si="4"/>
        <v>0</v>
      </c>
      <c r="O47" s="1366"/>
      <c r="P47" s="1367">
        <f t="shared" si="5"/>
        <v>0</v>
      </c>
      <c r="Q47" s="1366"/>
      <c r="R47" s="1368">
        <f t="shared" si="6"/>
        <v>0</v>
      </c>
      <c r="S47" s="1366"/>
      <c r="T47" s="1367">
        <f t="shared" si="7"/>
        <v>0</v>
      </c>
      <c r="U47" s="1369"/>
      <c r="V47" s="1368">
        <f t="shared" si="8"/>
        <v>0</v>
      </c>
      <c r="W47" s="1366"/>
      <c r="X47" s="1367">
        <f t="shared" si="9"/>
        <v>0</v>
      </c>
      <c r="Y47" s="1369"/>
      <c r="Z47" s="1368">
        <f t="shared" si="10"/>
        <v>0</v>
      </c>
      <c r="AA47" s="1366"/>
      <c r="AB47" s="1367">
        <f t="shared" si="11"/>
        <v>0</v>
      </c>
      <c r="AC47" s="1370"/>
      <c r="AD47" s="1391"/>
      <c r="AE47" s="1080">
        <f t="shared" si="16"/>
        <v>10</v>
      </c>
      <c r="AF47" s="902">
        <f t="shared" si="17"/>
        <v>0</v>
      </c>
      <c r="AG47" s="914">
        <f t="shared" si="14"/>
        <v>0</v>
      </c>
      <c r="AH47" s="915">
        <f t="shared" si="18"/>
        <v>0</v>
      </c>
      <c r="AI47" s="10"/>
      <c r="AJ47" s="1357">
        <v>8</v>
      </c>
      <c r="AK47" s="1358"/>
    </row>
    <row r="48" spans="2:37" ht="29.25">
      <c r="B48" s="1435" t="s">
        <v>852</v>
      </c>
      <c r="C48" s="528" t="s">
        <v>853</v>
      </c>
      <c r="D48" s="1371">
        <v>15</v>
      </c>
      <c r="E48" s="1349"/>
      <c r="F48" s="1350">
        <f aca="true" t="shared" si="19" ref="F48:F166">E48*D48</f>
        <v>0</v>
      </c>
      <c r="G48" s="1349"/>
      <c r="H48" s="1350">
        <f t="shared" si="1"/>
        <v>0</v>
      </c>
      <c r="I48" s="1349"/>
      <c r="J48" s="1350">
        <f t="shared" si="2"/>
        <v>0</v>
      </c>
      <c r="K48" s="1349"/>
      <c r="L48" s="1350">
        <f t="shared" si="3"/>
        <v>0</v>
      </c>
      <c r="M48" s="1349"/>
      <c r="N48" s="1350">
        <f t="shared" si="4"/>
        <v>0</v>
      </c>
      <c r="O48" s="1349"/>
      <c r="P48" s="1350">
        <f t="shared" si="5"/>
        <v>0</v>
      </c>
      <c r="Q48" s="1349"/>
      <c r="R48" s="1351">
        <f t="shared" si="6"/>
        <v>0</v>
      </c>
      <c r="S48" s="1349"/>
      <c r="T48" s="1350">
        <f t="shared" si="7"/>
        <v>0</v>
      </c>
      <c r="U48" s="1352"/>
      <c r="V48" s="1351">
        <f t="shared" si="8"/>
        <v>0</v>
      </c>
      <c r="W48" s="1349"/>
      <c r="X48" s="1350">
        <f t="shared" si="9"/>
        <v>0</v>
      </c>
      <c r="Y48" s="1352"/>
      <c r="Z48" s="1351">
        <f t="shared" si="10"/>
        <v>0</v>
      </c>
      <c r="AA48" s="1349"/>
      <c r="AB48" s="1350">
        <f t="shared" si="11"/>
        <v>0</v>
      </c>
      <c r="AC48" s="1353"/>
      <c r="AD48" s="1391"/>
      <c r="AE48" s="1206">
        <f t="shared" si="16"/>
        <v>15</v>
      </c>
      <c r="AF48" s="1355">
        <f t="shared" si="17"/>
        <v>0</v>
      </c>
      <c r="AG48" s="1356">
        <f t="shared" si="14"/>
        <v>0</v>
      </c>
      <c r="AH48" s="804">
        <f t="shared" si="18"/>
        <v>0</v>
      </c>
      <c r="AJ48" s="1357">
        <v>4</v>
      </c>
      <c r="AK48" s="1358"/>
    </row>
    <row r="49" spans="2:37" ht="28.5">
      <c r="B49" s="1435"/>
      <c r="C49" s="460" t="s">
        <v>854</v>
      </c>
      <c r="D49" s="1360">
        <v>15</v>
      </c>
      <c r="E49" s="1361"/>
      <c r="F49" s="1362">
        <f t="shared" si="19"/>
        <v>0</v>
      </c>
      <c r="G49" s="1361"/>
      <c r="H49" s="1362">
        <f t="shared" si="1"/>
        <v>0</v>
      </c>
      <c r="I49" s="1361"/>
      <c r="J49" s="1362">
        <f t="shared" si="2"/>
        <v>0</v>
      </c>
      <c r="K49" s="1361"/>
      <c r="L49" s="1362">
        <f t="shared" si="3"/>
        <v>0</v>
      </c>
      <c r="M49" s="1361"/>
      <c r="N49" s="1362">
        <f t="shared" si="4"/>
        <v>0</v>
      </c>
      <c r="O49" s="1361"/>
      <c r="P49" s="1362">
        <f t="shared" si="5"/>
        <v>0</v>
      </c>
      <c r="Q49" s="1361"/>
      <c r="R49" s="1363">
        <f t="shared" si="6"/>
        <v>0</v>
      </c>
      <c r="S49" s="1361"/>
      <c r="T49" s="1362">
        <f t="shared" si="7"/>
        <v>0</v>
      </c>
      <c r="U49" s="1364"/>
      <c r="V49" s="1363">
        <f t="shared" si="8"/>
        <v>0</v>
      </c>
      <c r="W49" s="1361"/>
      <c r="X49" s="1362">
        <f t="shared" si="9"/>
        <v>0</v>
      </c>
      <c r="Y49" s="1364"/>
      <c r="Z49" s="1363">
        <f t="shared" si="10"/>
        <v>0</v>
      </c>
      <c r="AA49" s="1361"/>
      <c r="AB49" s="1362">
        <f t="shared" si="11"/>
        <v>0</v>
      </c>
      <c r="AC49" s="1365"/>
      <c r="AD49" s="1391"/>
      <c r="AE49" s="662">
        <f t="shared" si="16"/>
        <v>15</v>
      </c>
      <c r="AF49" s="663">
        <f t="shared" si="17"/>
        <v>0</v>
      </c>
      <c r="AG49" s="664">
        <f t="shared" si="14"/>
        <v>0</v>
      </c>
      <c r="AH49" s="665">
        <f t="shared" si="18"/>
        <v>0</v>
      </c>
      <c r="AJ49" s="1357">
        <v>3</v>
      </c>
      <c r="AK49" s="1358"/>
    </row>
    <row r="50" spans="2:37" ht="21">
      <c r="B50" s="1435"/>
      <c r="C50" s="1436" t="s">
        <v>204</v>
      </c>
      <c r="D50" s="1380">
        <v>15</v>
      </c>
      <c r="E50" s="1388"/>
      <c r="F50" s="1387">
        <f t="shared" si="19"/>
        <v>0</v>
      </c>
      <c r="G50" s="1388"/>
      <c r="H50" s="1387">
        <f t="shared" si="1"/>
        <v>0</v>
      </c>
      <c r="I50" s="1388"/>
      <c r="J50" s="1387">
        <f t="shared" si="2"/>
        <v>0</v>
      </c>
      <c r="K50" s="1388"/>
      <c r="L50" s="1387">
        <f t="shared" si="3"/>
        <v>0</v>
      </c>
      <c r="M50" s="1388"/>
      <c r="N50" s="1387">
        <f t="shared" si="4"/>
        <v>0</v>
      </c>
      <c r="O50" s="1388"/>
      <c r="P50" s="1387">
        <f t="shared" si="5"/>
        <v>0</v>
      </c>
      <c r="Q50" s="1388"/>
      <c r="R50" s="1389">
        <f t="shared" si="6"/>
        <v>0</v>
      </c>
      <c r="S50" s="1388"/>
      <c r="T50" s="1387">
        <f t="shared" si="7"/>
        <v>0</v>
      </c>
      <c r="U50" s="1390"/>
      <c r="V50" s="1389">
        <f t="shared" si="8"/>
        <v>0</v>
      </c>
      <c r="W50" s="1388"/>
      <c r="X50" s="1387">
        <f t="shared" si="9"/>
        <v>0</v>
      </c>
      <c r="Y50" s="1390"/>
      <c r="Z50" s="1389">
        <f t="shared" si="10"/>
        <v>0</v>
      </c>
      <c r="AA50" s="1388"/>
      <c r="AB50" s="1387">
        <f t="shared" si="11"/>
        <v>0</v>
      </c>
      <c r="AC50" s="1370"/>
      <c r="AD50" s="1391"/>
      <c r="AE50" s="1080">
        <f t="shared" si="16"/>
        <v>15</v>
      </c>
      <c r="AF50" s="902">
        <f t="shared" si="17"/>
        <v>0</v>
      </c>
      <c r="AG50" s="914">
        <f t="shared" si="14"/>
        <v>0</v>
      </c>
      <c r="AH50" s="915">
        <f t="shared" si="18"/>
        <v>0</v>
      </c>
      <c r="AJ50" s="1357">
        <v>14</v>
      </c>
      <c r="AK50" s="1358"/>
    </row>
    <row r="51" spans="2:37" ht="21" customHeight="1">
      <c r="B51" s="1437" t="s">
        <v>855</v>
      </c>
      <c r="C51" s="1233" t="s">
        <v>856</v>
      </c>
      <c r="D51" s="1371">
        <v>10</v>
      </c>
      <c r="E51" s="1349"/>
      <c r="F51" s="1350">
        <f t="shared" si="19"/>
        <v>0</v>
      </c>
      <c r="G51" s="1349"/>
      <c r="H51" s="1350">
        <f t="shared" si="1"/>
        <v>0</v>
      </c>
      <c r="I51" s="1349"/>
      <c r="J51" s="1350">
        <f t="shared" si="2"/>
        <v>0</v>
      </c>
      <c r="K51" s="1349"/>
      <c r="L51" s="1350">
        <f t="shared" si="3"/>
        <v>0</v>
      </c>
      <c r="M51" s="1349"/>
      <c r="N51" s="1350">
        <f t="shared" si="4"/>
        <v>0</v>
      </c>
      <c r="O51" s="1349"/>
      <c r="P51" s="1350">
        <f t="shared" si="5"/>
        <v>0</v>
      </c>
      <c r="Q51" s="1349"/>
      <c r="R51" s="1351">
        <f t="shared" si="6"/>
        <v>0</v>
      </c>
      <c r="S51" s="1349"/>
      <c r="T51" s="1350">
        <f t="shared" si="7"/>
        <v>0</v>
      </c>
      <c r="U51" s="1352"/>
      <c r="V51" s="1351">
        <f t="shared" si="8"/>
        <v>0</v>
      </c>
      <c r="W51" s="1349"/>
      <c r="X51" s="1350">
        <f t="shared" si="9"/>
        <v>0</v>
      </c>
      <c r="Y51" s="1352"/>
      <c r="Z51" s="1351">
        <f t="shared" si="10"/>
        <v>0</v>
      </c>
      <c r="AA51" s="1349"/>
      <c r="AB51" s="1350">
        <f t="shared" si="11"/>
        <v>0</v>
      </c>
      <c r="AC51" s="1353"/>
      <c r="AD51" s="1391"/>
      <c r="AE51" s="1206">
        <f t="shared" si="16"/>
        <v>10</v>
      </c>
      <c r="AF51" s="1355">
        <f t="shared" si="17"/>
        <v>0</v>
      </c>
      <c r="AG51" s="1356">
        <f t="shared" si="14"/>
        <v>0</v>
      </c>
      <c r="AH51" s="804">
        <f t="shared" si="18"/>
        <v>0</v>
      </c>
      <c r="AJ51" s="1357">
        <v>1</v>
      </c>
      <c r="AK51" s="1358"/>
    </row>
    <row r="52" spans="2:37" ht="20.25">
      <c r="B52" s="1437"/>
      <c r="C52" s="1159" t="s">
        <v>857</v>
      </c>
      <c r="D52" s="1360">
        <v>10</v>
      </c>
      <c r="E52" s="1361"/>
      <c r="F52" s="1362">
        <f t="shared" si="19"/>
        <v>0</v>
      </c>
      <c r="G52" s="1361"/>
      <c r="H52" s="1362">
        <f t="shared" si="1"/>
        <v>0</v>
      </c>
      <c r="I52" s="1361"/>
      <c r="J52" s="1362">
        <f t="shared" si="2"/>
        <v>0</v>
      </c>
      <c r="K52" s="1361"/>
      <c r="L52" s="1362">
        <f t="shared" si="3"/>
        <v>0</v>
      </c>
      <c r="M52" s="1361"/>
      <c r="N52" s="1362">
        <f t="shared" si="4"/>
        <v>0</v>
      </c>
      <c r="O52" s="1361"/>
      <c r="P52" s="1362">
        <f t="shared" si="5"/>
        <v>0</v>
      </c>
      <c r="Q52" s="1361"/>
      <c r="R52" s="1363">
        <f t="shared" si="6"/>
        <v>0</v>
      </c>
      <c r="S52" s="1361"/>
      <c r="T52" s="1362">
        <f t="shared" si="7"/>
        <v>0</v>
      </c>
      <c r="U52" s="1364"/>
      <c r="V52" s="1363">
        <f t="shared" si="8"/>
        <v>0</v>
      </c>
      <c r="W52" s="1361"/>
      <c r="X52" s="1362">
        <f t="shared" si="9"/>
        <v>0</v>
      </c>
      <c r="Y52" s="1364"/>
      <c r="Z52" s="1363">
        <f t="shared" si="10"/>
        <v>0</v>
      </c>
      <c r="AA52" s="1361"/>
      <c r="AB52" s="1362">
        <f t="shared" si="11"/>
        <v>0</v>
      </c>
      <c r="AC52" s="1365"/>
      <c r="AD52" s="1391"/>
      <c r="AE52" s="662">
        <f t="shared" si="16"/>
        <v>10</v>
      </c>
      <c r="AF52" s="663">
        <f t="shared" si="17"/>
        <v>0</v>
      </c>
      <c r="AG52" s="664">
        <f t="shared" si="14"/>
        <v>0</v>
      </c>
      <c r="AH52" s="665">
        <f t="shared" si="18"/>
        <v>0</v>
      </c>
      <c r="AJ52" s="1357">
        <v>2</v>
      </c>
      <c r="AK52" s="1358"/>
    </row>
    <row r="53" spans="2:37" ht="20.25">
      <c r="B53" s="1437"/>
      <c r="C53" s="1161" t="s">
        <v>251</v>
      </c>
      <c r="D53" s="1360">
        <v>10</v>
      </c>
      <c r="E53" s="1361"/>
      <c r="F53" s="1362">
        <f t="shared" si="19"/>
        <v>0</v>
      </c>
      <c r="G53" s="1361"/>
      <c r="H53" s="1362">
        <f t="shared" si="1"/>
        <v>0</v>
      </c>
      <c r="I53" s="1361"/>
      <c r="J53" s="1362">
        <f t="shared" si="2"/>
        <v>0</v>
      </c>
      <c r="K53" s="1361"/>
      <c r="L53" s="1362">
        <f t="shared" si="3"/>
        <v>0</v>
      </c>
      <c r="M53" s="1361"/>
      <c r="N53" s="1362">
        <f t="shared" si="4"/>
        <v>0</v>
      </c>
      <c r="O53" s="1361"/>
      <c r="P53" s="1362">
        <f t="shared" si="5"/>
        <v>0</v>
      </c>
      <c r="Q53" s="1361"/>
      <c r="R53" s="1363">
        <f t="shared" si="6"/>
        <v>0</v>
      </c>
      <c r="S53" s="1361"/>
      <c r="T53" s="1362">
        <f t="shared" si="7"/>
        <v>0</v>
      </c>
      <c r="U53" s="1364"/>
      <c r="V53" s="1363">
        <f t="shared" si="8"/>
        <v>0</v>
      </c>
      <c r="W53" s="1361"/>
      <c r="X53" s="1362">
        <f t="shared" si="9"/>
        <v>0</v>
      </c>
      <c r="Y53" s="1364"/>
      <c r="Z53" s="1363">
        <f t="shared" si="10"/>
        <v>0</v>
      </c>
      <c r="AA53" s="1361"/>
      <c r="AB53" s="1362">
        <f t="shared" si="11"/>
        <v>0</v>
      </c>
      <c r="AC53" s="1365"/>
      <c r="AD53" s="1391"/>
      <c r="AE53" s="662">
        <f t="shared" si="16"/>
        <v>10</v>
      </c>
      <c r="AF53" s="663">
        <f t="shared" si="17"/>
        <v>0</v>
      </c>
      <c r="AG53" s="664">
        <f t="shared" si="14"/>
        <v>0</v>
      </c>
      <c r="AH53" s="665">
        <f t="shared" si="18"/>
        <v>0</v>
      </c>
      <c r="AJ53" s="1357">
        <v>2</v>
      </c>
      <c r="AK53" s="1358"/>
    </row>
    <row r="54" spans="2:37" ht="20.25">
      <c r="B54" s="1437"/>
      <c r="C54" s="1161" t="s">
        <v>858</v>
      </c>
      <c r="D54" s="1360">
        <v>5</v>
      </c>
      <c r="E54" s="1361"/>
      <c r="F54" s="1362">
        <f t="shared" si="19"/>
        <v>0</v>
      </c>
      <c r="G54" s="1361"/>
      <c r="H54" s="1362">
        <f t="shared" si="1"/>
        <v>0</v>
      </c>
      <c r="I54" s="1361"/>
      <c r="J54" s="1362">
        <f t="shared" si="2"/>
        <v>0</v>
      </c>
      <c r="K54" s="1361"/>
      <c r="L54" s="1362">
        <f t="shared" si="3"/>
        <v>0</v>
      </c>
      <c r="M54" s="1361"/>
      <c r="N54" s="1362">
        <f t="shared" si="4"/>
        <v>0</v>
      </c>
      <c r="O54" s="1361"/>
      <c r="P54" s="1362">
        <f t="shared" si="5"/>
        <v>0</v>
      </c>
      <c r="Q54" s="1361"/>
      <c r="R54" s="1363">
        <f t="shared" si="6"/>
        <v>0</v>
      </c>
      <c r="S54" s="1361"/>
      <c r="T54" s="1362">
        <f t="shared" si="7"/>
        <v>0</v>
      </c>
      <c r="U54" s="1364"/>
      <c r="V54" s="1363">
        <f t="shared" si="8"/>
        <v>0</v>
      </c>
      <c r="W54" s="1361"/>
      <c r="X54" s="1362">
        <f t="shared" si="9"/>
        <v>0</v>
      </c>
      <c r="Y54" s="1364"/>
      <c r="Z54" s="1363">
        <f t="shared" si="10"/>
        <v>0</v>
      </c>
      <c r="AA54" s="1361"/>
      <c r="AB54" s="1362">
        <f t="shared" si="11"/>
        <v>0</v>
      </c>
      <c r="AC54" s="1365"/>
      <c r="AD54" s="1391"/>
      <c r="AE54" s="662">
        <f t="shared" si="16"/>
        <v>5</v>
      </c>
      <c r="AF54" s="663">
        <f t="shared" si="17"/>
        <v>0</v>
      </c>
      <c r="AG54" s="664">
        <f t="shared" si="14"/>
        <v>0</v>
      </c>
      <c r="AH54" s="665">
        <f t="shared" si="18"/>
        <v>0</v>
      </c>
      <c r="AJ54" s="1357">
        <v>2</v>
      </c>
      <c r="AK54" s="1358"/>
    </row>
    <row r="55" spans="2:37" ht="20.25">
      <c r="B55" s="1437"/>
      <c r="C55" s="1161" t="s">
        <v>859</v>
      </c>
      <c r="D55" s="1360">
        <v>3.9</v>
      </c>
      <c r="E55" s="1361"/>
      <c r="F55" s="1362">
        <f t="shared" si="19"/>
        <v>0</v>
      </c>
      <c r="G55" s="1361"/>
      <c r="H55" s="1362">
        <f t="shared" si="1"/>
        <v>0</v>
      </c>
      <c r="I55" s="1361"/>
      <c r="J55" s="1362">
        <f t="shared" si="2"/>
        <v>0</v>
      </c>
      <c r="K55" s="1361"/>
      <c r="L55" s="1362">
        <f t="shared" si="3"/>
        <v>0</v>
      </c>
      <c r="M55" s="1361"/>
      <c r="N55" s="1362">
        <f t="shared" si="4"/>
        <v>0</v>
      </c>
      <c r="O55" s="1361"/>
      <c r="P55" s="1362">
        <f t="shared" si="5"/>
        <v>0</v>
      </c>
      <c r="Q55" s="1361"/>
      <c r="R55" s="1363">
        <f t="shared" si="6"/>
        <v>0</v>
      </c>
      <c r="S55" s="1361"/>
      <c r="T55" s="1362">
        <f t="shared" si="7"/>
        <v>0</v>
      </c>
      <c r="U55" s="1364"/>
      <c r="V55" s="1363">
        <f t="shared" si="8"/>
        <v>0</v>
      </c>
      <c r="W55" s="1361"/>
      <c r="X55" s="1362">
        <f t="shared" si="9"/>
        <v>0</v>
      </c>
      <c r="Y55" s="1364"/>
      <c r="Z55" s="1363">
        <f t="shared" si="10"/>
        <v>0</v>
      </c>
      <c r="AA55" s="1361"/>
      <c r="AB55" s="1362">
        <f t="shared" si="11"/>
        <v>0</v>
      </c>
      <c r="AC55" s="1365"/>
      <c r="AD55" s="1391"/>
      <c r="AE55" s="662">
        <f t="shared" si="16"/>
        <v>3.9</v>
      </c>
      <c r="AF55" s="663">
        <f t="shared" si="17"/>
        <v>0</v>
      </c>
      <c r="AG55" s="664">
        <f t="shared" si="14"/>
        <v>0</v>
      </c>
      <c r="AH55" s="665">
        <f t="shared" si="18"/>
        <v>0</v>
      </c>
      <c r="AJ55" s="1357">
        <v>2</v>
      </c>
      <c r="AK55" s="1358"/>
    </row>
    <row r="56" spans="2:37" ht="20.25">
      <c r="B56" s="1437"/>
      <c r="C56" s="1161" t="s">
        <v>860</v>
      </c>
      <c r="D56" s="1360">
        <v>6.5</v>
      </c>
      <c r="E56" s="1361"/>
      <c r="F56" s="1362">
        <f t="shared" si="19"/>
        <v>0</v>
      </c>
      <c r="G56" s="1361"/>
      <c r="H56" s="1362">
        <f t="shared" si="1"/>
        <v>0</v>
      </c>
      <c r="I56" s="1361"/>
      <c r="J56" s="1362">
        <f t="shared" si="2"/>
        <v>0</v>
      </c>
      <c r="K56" s="1361"/>
      <c r="L56" s="1362">
        <f t="shared" si="3"/>
        <v>0</v>
      </c>
      <c r="M56" s="1361"/>
      <c r="N56" s="1362">
        <f t="shared" si="4"/>
        <v>0</v>
      </c>
      <c r="O56" s="1361"/>
      <c r="P56" s="1362">
        <f t="shared" si="5"/>
        <v>0</v>
      </c>
      <c r="Q56" s="1361"/>
      <c r="R56" s="1363">
        <f t="shared" si="6"/>
        <v>0</v>
      </c>
      <c r="S56" s="1361"/>
      <c r="T56" s="1362">
        <f t="shared" si="7"/>
        <v>0</v>
      </c>
      <c r="U56" s="1364"/>
      <c r="V56" s="1363">
        <f t="shared" si="8"/>
        <v>0</v>
      </c>
      <c r="W56" s="1361"/>
      <c r="X56" s="1362">
        <f t="shared" si="9"/>
        <v>0</v>
      </c>
      <c r="Y56" s="1364"/>
      <c r="Z56" s="1363">
        <f t="shared" si="10"/>
        <v>0</v>
      </c>
      <c r="AA56" s="1361"/>
      <c r="AB56" s="1362">
        <f t="shared" si="11"/>
        <v>0</v>
      </c>
      <c r="AC56" s="1365"/>
      <c r="AD56" s="1391"/>
      <c r="AE56" s="662">
        <f t="shared" si="16"/>
        <v>6.5</v>
      </c>
      <c r="AF56" s="663"/>
      <c r="AG56" s="664">
        <f t="shared" si="14"/>
        <v>0</v>
      </c>
      <c r="AH56" s="665"/>
      <c r="AJ56" s="1357">
        <v>0</v>
      </c>
      <c r="AK56" s="1358">
        <v>5</v>
      </c>
    </row>
    <row r="57" spans="2:37" ht="20.25">
      <c r="B57" s="1437"/>
      <c r="C57" s="1161" t="s">
        <v>211</v>
      </c>
      <c r="D57" s="1360">
        <v>6</v>
      </c>
      <c r="E57" s="1361"/>
      <c r="F57" s="1362">
        <f t="shared" si="19"/>
        <v>0</v>
      </c>
      <c r="G57" s="1361"/>
      <c r="H57" s="1362">
        <f t="shared" si="1"/>
        <v>0</v>
      </c>
      <c r="I57" s="1361"/>
      <c r="J57" s="1362">
        <f t="shared" si="2"/>
        <v>0</v>
      </c>
      <c r="K57" s="1361"/>
      <c r="L57" s="1362">
        <f t="shared" si="3"/>
        <v>0</v>
      </c>
      <c r="M57" s="1361"/>
      <c r="N57" s="1362">
        <f t="shared" si="4"/>
        <v>0</v>
      </c>
      <c r="O57" s="1361">
        <v>1</v>
      </c>
      <c r="P57" s="1362">
        <f t="shared" si="5"/>
        <v>6</v>
      </c>
      <c r="Q57" s="1361"/>
      <c r="R57" s="1363">
        <f t="shared" si="6"/>
        <v>0</v>
      </c>
      <c r="S57" s="1361"/>
      <c r="T57" s="1362">
        <f t="shared" si="7"/>
        <v>0</v>
      </c>
      <c r="U57" s="1364"/>
      <c r="V57" s="1363">
        <f t="shared" si="8"/>
        <v>0</v>
      </c>
      <c r="W57" s="1361"/>
      <c r="X57" s="1362">
        <f t="shared" si="9"/>
        <v>0</v>
      </c>
      <c r="Y57" s="1364"/>
      <c r="Z57" s="1363">
        <f t="shared" si="10"/>
        <v>0</v>
      </c>
      <c r="AA57" s="1361"/>
      <c r="AB57" s="1362">
        <f t="shared" si="11"/>
        <v>0</v>
      </c>
      <c r="AC57" s="1365">
        <f>'[2]Ventes St Sever'!$AD$96</f>
        <v>5</v>
      </c>
      <c r="AD57" s="1391"/>
      <c r="AE57" s="662">
        <f t="shared" si="16"/>
        <v>1</v>
      </c>
      <c r="AF57" s="663">
        <f>AE57*AH57</f>
        <v>1</v>
      </c>
      <c r="AG57" s="664">
        <f t="shared" si="14"/>
        <v>6</v>
      </c>
      <c r="AH57" s="665">
        <f>AA57+Y57+W57+U57+S57+Q57+O57+M57+K57+I57+G57+E57</f>
        <v>1</v>
      </c>
      <c r="AJ57" s="1357">
        <v>2</v>
      </c>
      <c r="AK57" s="1358"/>
    </row>
    <row r="58" spans="2:37" ht="20.25">
      <c r="B58" s="1437"/>
      <c r="C58" s="1161" t="s">
        <v>267</v>
      </c>
      <c r="D58" s="1360">
        <v>12</v>
      </c>
      <c r="E58" s="1361"/>
      <c r="F58" s="1362">
        <f t="shared" si="19"/>
        <v>0</v>
      </c>
      <c r="G58" s="1361"/>
      <c r="H58" s="1362">
        <f t="shared" si="1"/>
        <v>0</v>
      </c>
      <c r="I58" s="1361"/>
      <c r="J58" s="1362">
        <f t="shared" si="2"/>
        <v>0</v>
      </c>
      <c r="K58" s="1361"/>
      <c r="L58" s="1362">
        <f t="shared" si="3"/>
        <v>0</v>
      </c>
      <c r="M58" s="1361"/>
      <c r="N58" s="1362">
        <f t="shared" si="4"/>
        <v>0</v>
      </c>
      <c r="O58" s="1361"/>
      <c r="P58" s="1362">
        <f t="shared" si="5"/>
        <v>0</v>
      </c>
      <c r="Q58" s="1361"/>
      <c r="R58" s="1363">
        <f t="shared" si="6"/>
        <v>0</v>
      </c>
      <c r="S58" s="1361"/>
      <c r="T58" s="1362">
        <f t="shared" si="7"/>
        <v>0</v>
      </c>
      <c r="U58" s="1364"/>
      <c r="V58" s="1363">
        <f t="shared" si="8"/>
        <v>0</v>
      </c>
      <c r="W58" s="1361"/>
      <c r="X58" s="1362">
        <f t="shared" si="9"/>
        <v>0</v>
      </c>
      <c r="Y58" s="1364"/>
      <c r="Z58" s="1363">
        <f t="shared" si="10"/>
        <v>0</v>
      </c>
      <c r="AA58" s="1361"/>
      <c r="AB58" s="1362">
        <f t="shared" si="11"/>
        <v>0</v>
      </c>
      <c r="AC58" s="1365"/>
      <c r="AD58" s="1391"/>
      <c r="AE58" s="662"/>
      <c r="AF58" s="663"/>
      <c r="AG58" s="664">
        <f t="shared" si="14"/>
        <v>0</v>
      </c>
      <c r="AH58" s="665"/>
      <c r="AJ58" s="1357">
        <v>0</v>
      </c>
      <c r="AK58" s="1358">
        <v>5</v>
      </c>
    </row>
    <row r="59" spans="2:37" ht="20.25">
      <c r="B59" s="1437"/>
      <c r="C59" s="1161" t="s">
        <v>861</v>
      </c>
      <c r="D59" s="1360">
        <v>9</v>
      </c>
      <c r="E59" s="1361"/>
      <c r="F59" s="1362">
        <f t="shared" si="19"/>
        <v>0</v>
      </c>
      <c r="G59" s="1361"/>
      <c r="H59" s="1362">
        <f t="shared" si="1"/>
        <v>0</v>
      </c>
      <c r="I59" s="1361"/>
      <c r="J59" s="1362">
        <f t="shared" si="2"/>
        <v>0</v>
      </c>
      <c r="K59" s="1361"/>
      <c r="L59" s="1362">
        <f t="shared" si="3"/>
        <v>0</v>
      </c>
      <c r="M59" s="1361"/>
      <c r="N59" s="1362">
        <f t="shared" si="4"/>
        <v>0</v>
      </c>
      <c r="O59" s="1361"/>
      <c r="P59" s="1362">
        <f t="shared" si="5"/>
        <v>0</v>
      </c>
      <c r="Q59" s="1361"/>
      <c r="R59" s="1363">
        <f t="shared" si="6"/>
        <v>0</v>
      </c>
      <c r="S59" s="1361"/>
      <c r="T59" s="1362">
        <f t="shared" si="7"/>
        <v>0</v>
      </c>
      <c r="U59" s="1364"/>
      <c r="V59" s="1363">
        <f t="shared" si="8"/>
        <v>0</v>
      </c>
      <c r="W59" s="1361"/>
      <c r="X59" s="1362">
        <f t="shared" si="9"/>
        <v>0</v>
      </c>
      <c r="Y59" s="1364"/>
      <c r="Z59" s="1363">
        <f t="shared" si="10"/>
        <v>0</v>
      </c>
      <c r="AA59" s="1361"/>
      <c r="AB59" s="1362">
        <f t="shared" si="11"/>
        <v>0</v>
      </c>
      <c r="AC59" s="1365"/>
      <c r="AD59" s="1391"/>
      <c r="AE59" s="662">
        <f aca="true" t="shared" si="20" ref="AE59:AE75">D59-AC59</f>
        <v>9</v>
      </c>
      <c r="AF59" s="663">
        <f aca="true" t="shared" si="21" ref="AF59:AF62">AE59*AH59</f>
        <v>0</v>
      </c>
      <c r="AG59" s="664">
        <f t="shared" si="14"/>
        <v>0</v>
      </c>
      <c r="AH59" s="665">
        <f aca="true" t="shared" si="22" ref="AH59:AH62">AA59+Y59+W59+U59+S59+Q59+O59+M59+K59+I59+G59+E59</f>
        <v>0</v>
      </c>
      <c r="AJ59" s="1357">
        <v>2</v>
      </c>
      <c r="AK59" s="1358"/>
    </row>
    <row r="60" spans="2:37" ht="20.25">
      <c r="B60" s="1437"/>
      <c r="C60" s="1161" t="s">
        <v>212</v>
      </c>
      <c r="D60" s="1360">
        <v>15</v>
      </c>
      <c r="E60" s="1361"/>
      <c r="F60" s="1362">
        <f t="shared" si="19"/>
        <v>0</v>
      </c>
      <c r="G60" s="1361"/>
      <c r="H60" s="1362">
        <f t="shared" si="1"/>
        <v>0</v>
      </c>
      <c r="I60" s="1361"/>
      <c r="J60" s="1362">
        <f t="shared" si="2"/>
        <v>0</v>
      </c>
      <c r="K60" s="1361"/>
      <c r="L60" s="1362">
        <f t="shared" si="3"/>
        <v>0</v>
      </c>
      <c r="M60" s="1361"/>
      <c r="N60" s="1362">
        <f t="shared" si="4"/>
        <v>0</v>
      </c>
      <c r="O60" s="1361">
        <v>1</v>
      </c>
      <c r="P60" s="1362">
        <f t="shared" si="5"/>
        <v>15</v>
      </c>
      <c r="Q60" s="1361"/>
      <c r="R60" s="1363">
        <f t="shared" si="6"/>
        <v>0</v>
      </c>
      <c r="S60" s="1361"/>
      <c r="T60" s="1362">
        <f t="shared" si="7"/>
        <v>0</v>
      </c>
      <c r="U60" s="1364"/>
      <c r="V60" s="1363">
        <f t="shared" si="8"/>
        <v>0</v>
      </c>
      <c r="W60" s="1361"/>
      <c r="X60" s="1362">
        <f t="shared" si="9"/>
        <v>0</v>
      </c>
      <c r="Y60" s="1364"/>
      <c r="Z60" s="1363">
        <f t="shared" si="10"/>
        <v>0</v>
      </c>
      <c r="AA60" s="1361"/>
      <c r="AB60" s="1362">
        <f t="shared" si="11"/>
        <v>0</v>
      </c>
      <c r="AC60" s="1365">
        <f>'[2]Ventes St Sever'!$AD$92</f>
        <v>7</v>
      </c>
      <c r="AD60" s="1391"/>
      <c r="AE60" s="662">
        <f t="shared" si="20"/>
        <v>8</v>
      </c>
      <c r="AF60" s="663">
        <f t="shared" si="21"/>
        <v>8</v>
      </c>
      <c r="AG60" s="664">
        <f t="shared" si="14"/>
        <v>15</v>
      </c>
      <c r="AH60" s="665">
        <f t="shared" si="22"/>
        <v>1</v>
      </c>
      <c r="AJ60" s="1357">
        <v>0</v>
      </c>
      <c r="AK60" s="1358">
        <v>5</v>
      </c>
    </row>
    <row r="61" spans="2:37" ht="20.25">
      <c r="B61" s="1437"/>
      <c r="C61" s="1161" t="s">
        <v>264</v>
      </c>
      <c r="D61" s="1360">
        <v>7</v>
      </c>
      <c r="E61" s="1361"/>
      <c r="F61" s="1362">
        <f t="shared" si="19"/>
        <v>0</v>
      </c>
      <c r="G61" s="1361"/>
      <c r="H61" s="1362">
        <f t="shared" si="1"/>
        <v>0</v>
      </c>
      <c r="I61" s="1361"/>
      <c r="J61" s="1362">
        <f t="shared" si="2"/>
        <v>0</v>
      </c>
      <c r="K61" s="1361"/>
      <c r="L61" s="1362">
        <f t="shared" si="3"/>
        <v>0</v>
      </c>
      <c r="M61" s="1361"/>
      <c r="N61" s="1362">
        <f t="shared" si="4"/>
        <v>0</v>
      </c>
      <c r="O61" s="1361"/>
      <c r="P61" s="1362">
        <f t="shared" si="5"/>
        <v>0</v>
      </c>
      <c r="Q61" s="1361"/>
      <c r="R61" s="1363">
        <f t="shared" si="6"/>
        <v>0</v>
      </c>
      <c r="S61" s="1361"/>
      <c r="T61" s="1362">
        <f t="shared" si="7"/>
        <v>0</v>
      </c>
      <c r="U61" s="1364"/>
      <c r="V61" s="1363">
        <f t="shared" si="8"/>
        <v>0</v>
      </c>
      <c r="W61" s="1361"/>
      <c r="X61" s="1362">
        <f t="shared" si="9"/>
        <v>0</v>
      </c>
      <c r="Y61" s="1364"/>
      <c r="Z61" s="1363">
        <f t="shared" si="10"/>
        <v>0</v>
      </c>
      <c r="AA61" s="1361"/>
      <c r="AB61" s="1362">
        <f t="shared" si="11"/>
        <v>0</v>
      </c>
      <c r="AC61" s="1365"/>
      <c r="AD61" s="1391"/>
      <c r="AE61" s="662">
        <f t="shared" si="20"/>
        <v>7</v>
      </c>
      <c r="AF61" s="663">
        <f t="shared" si="21"/>
        <v>0</v>
      </c>
      <c r="AG61" s="664">
        <f t="shared" si="14"/>
        <v>0</v>
      </c>
      <c r="AH61" s="665">
        <f t="shared" si="22"/>
        <v>0</v>
      </c>
      <c r="AJ61" s="1357">
        <v>1</v>
      </c>
      <c r="AK61" s="1358"/>
    </row>
    <row r="62" spans="2:37" ht="20.25">
      <c r="B62" s="1437"/>
      <c r="C62" s="1161" t="s">
        <v>862</v>
      </c>
      <c r="D62" s="1360">
        <v>11.5</v>
      </c>
      <c r="E62" s="1361"/>
      <c r="F62" s="1362">
        <f t="shared" si="19"/>
        <v>0</v>
      </c>
      <c r="G62" s="1361"/>
      <c r="H62" s="1362">
        <f t="shared" si="1"/>
        <v>0</v>
      </c>
      <c r="I62" s="1361"/>
      <c r="J62" s="1362">
        <f t="shared" si="2"/>
        <v>0</v>
      </c>
      <c r="K62" s="1361"/>
      <c r="L62" s="1362">
        <f t="shared" si="3"/>
        <v>0</v>
      </c>
      <c r="M62" s="1361"/>
      <c r="N62" s="1362">
        <f t="shared" si="4"/>
        <v>0</v>
      </c>
      <c r="O62" s="1361"/>
      <c r="P62" s="1362">
        <f t="shared" si="5"/>
        <v>0</v>
      </c>
      <c r="Q62" s="1361"/>
      <c r="R62" s="1363">
        <f t="shared" si="6"/>
        <v>0</v>
      </c>
      <c r="S62" s="1361"/>
      <c r="T62" s="1362">
        <f t="shared" si="7"/>
        <v>0</v>
      </c>
      <c r="U62" s="1364"/>
      <c r="V62" s="1363">
        <f t="shared" si="8"/>
        <v>0</v>
      </c>
      <c r="W62" s="1361"/>
      <c r="X62" s="1362">
        <f t="shared" si="9"/>
        <v>0</v>
      </c>
      <c r="Y62" s="1364"/>
      <c r="Z62" s="1363">
        <f t="shared" si="10"/>
        <v>0</v>
      </c>
      <c r="AA62" s="1361"/>
      <c r="AB62" s="1362">
        <f t="shared" si="11"/>
        <v>0</v>
      </c>
      <c r="AC62" s="1365"/>
      <c r="AD62" s="1391"/>
      <c r="AE62" s="662">
        <f t="shared" si="20"/>
        <v>11.5</v>
      </c>
      <c r="AF62" s="663">
        <f t="shared" si="21"/>
        <v>0</v>
      </c>
      <c r="AG62" s="664">
        <f t="shared" si="14"/>
        <v>0</v>
      </c>
      <c r="AH62" s="665">
        <f t="shared" si="22"/>
        <v>0</v>
      </c>
      <c r="AJ62" s="1357">
        <v>1</v>
      </c>
      <c r="AK62" s="1358"/>
    </row>
    <row r="63" spans="2:37" ht="20.25">
      <c r="B63" s="1437"/>
      <c r="C63" s="1161" t="s">
        <v>863</v>
      </c>
      <c r="D63" s="1360">
        <v>8</v>
      </c>
      <c r="E63" s="1361"/>
      <c r="F63" s="1362">
        <f t="shared" si="19"/>
        <v>0</v>
      </c>
      <c r="G63" s="1361"/>
      <c r="H63" s="1362">
        <f t="shared" si="1"/>
        <v>0</v>
      </c>
      <c r="I63" s="1361">
        <v>1</v>
      </c>
      <c r="J63" s="1362">
        <f t="shared" si="2"/>
        <v>8</v>
      </c>
      <c r="K63" s="1361"/>
      <c r="L63" s="1362">
        <f t="shared" si="3"/>
        <v>0</v>
      </c>
      <c r="M63" s="1361"/>
      <c r="N63" s="1362">
        <f t="shared" si="4"/>
        <v>0</v>
      </c>
      <c r="O63" s="1361"/>
      <c r="P63" s="1362">
        <f t="shared" si="5"/>
        <v>0</v>
      </c>
      <c r="Q63" s="1361"/>
      <c r="R63" s="1363">
        <f t="shared" si="6"/>
        <v>0</v>
      </c>
      <c r="S63" s="1361"/>
      <c r="T63" s="1362">
        <f t="shared" si="7"/>
        <v>0</v>
      </c>
      <c r="U63" s="1364"/>
      <c r="V63" s="1363">
        <f t="shared" si="8"/>
        <v>0</v>
      </c>
      <c r="W63" s="1361"/>
      <c r="X63" s="1362">
        <f t="shared" si="9"/>
        <v>0</v>
      </c>
      <c r="Y63" s="1364"/>
      <c r="Z63" s="1363">
        <f t="shared" si="10"/>
        <v>0</v>
      </c>
      <c r="AA63" s="1361"/>
      <c r="AB63" s="1362">
        <f t="shared" si="11"/>
        <v>0</v>
      </c>
      <c r="AC63" s="1365"/>
      <c r="AD63" s="1391"/>
      <c r="AE63" s="662">
        <f t="shared" si="20"/>
        <v>8</v>
      </c>
      <c r="AF63" s="663"/>
      <c r="AG63" s="664">
        <f t="shared" si="14"/>
        <v>8</v>
      </c>
      <c r="AH63" s="665"/>
      <c r="AJ63" s="1357">
        <v>5</v>
      </c>
      <c r="AK63" s="1358"/>
    </row>
    <row r="64" spans="2:37" ht="20.25">
      <c r="B64" s="1437"/>
      <c r="C64" s="1161" t="s">
        <v>864</v>
      </c>
      <c r="D64" s="1360">
        <v>13.75</v>
      </c>
      <c r="E64" s="1361"/>
      <c r="F64" s="1362">
        <f t="shared" si="19"/>
        <v>0</v>
      </c>
      <c r="G64" s="1361">
        <v>1</v>
      </c>
      <c r="H64" s="1362">
        <f t="shared" si="1"/>
        <v>13.75</v>
      </c>
      <c r="I64" s="1361"/>
      <c r="J64" s="1362">
        <f t="shared" si="2"/>
        <v>0</v>
      </c>
      <c r="K64" s="1361"/>
      <c r="L64" s="1362">
        <f t="shared" si="3"/>
        <v>0</v>
      </c>
      <c r="M64" s="1361"/>
      <c r="N64" s="1362">
        <f t="shared" si="4"/>
        <v>0</v>
      </c>
      <c r="O64" s="1361"/>
      <c r="P64" s="1362">
        <f t="shared" si="5"/>
        <v>0</v>
      </c>
      <c r="Q64" s="1361"/>
      <c r="R64" s="1363">
        <f t="shared" si="6"/>
        <v>0</v>
      </c>
      <c r="S64" s="1361"/>
      <c r="T64" s="1362">
        <f t="shared" si="7"/>
        <v>0</v>
      </c>
      <c r="U64" s="1364"/>
      <c r="V64" s="1363">
        <f t="shared" si="8"/>
        <v>0</v>
      </c>
      <c r="W64" s="1361"/>
      <c r="X64" s="1362">
        <f t="shared" si="9"/>
        <v>0</v>
      </c>
      <c r="Y64" s="1364"/>
      <c r="Z64" s="1363">
        <f t="shared" si="10"/>
        <v>0</v>
      </c>
      <c r="AA64" s="1361"/>
      <c r="AB64" s="1362">
        <f t="shared" si="11"/>
        <v>0</v>
      </c>
      <c r="AC64" s="1365"/>
      <c r="AD64" s="1391"/>
      <c r="AE64" s="662">
        <f t="shared" si="20"/>
        <v>13.75</v>
      </c>
      <c r="AF64" s="663">
        <f aca="true" t="shared" si="23" ref="AF64:AF68">AE64*AH64</f>
        <v>13.75</v>
      </c>
      <c r="AG64" s="664">
        <f t="shared" si="14"/>
        <v>13.75</v>
      </c>
      <c r="AH64" s="665">
        <f aca="true" t="shared" si="24" ref="AH64:AH68">AA64+Y64+W64+U64+S64+Q64+O64+M64+K64+I64+G64+E64</f>
        <v>1</v>
      </c>
      <c r="AJ64" s="1357">
        <v>3</v>
      </c>
      <c r="AK64" s="1358"/>
    </row>
    <row r="65" spans="2:37" ht="20.25">
      <c r="B65" s="1437"/>
      <c r="C65" s="1161" t="s">
        <v>865</v>
      </c>
      <c r="D65" s="1360">
        <v>11</v>
      </c>
      <c r="E65" s="1361"/>
      <c r="F65" s="1362">
        <f t="shared" si="19"/>
        <v>0</v>
      </c>
      <c r="G65" s="1361"/>
      <c r="H65" s="1362">
        <f t="shared" si="1"/>
        <v>0</v>
      </c>
      <c r="I65" s="1361"/>
      <c r="J65" s="1362">
        <f t="shared" si="2"/>
        <v>0</v>
      </c>
      <c r="K65" s="1361"/>
      <c r="L65" s="1362">
        <f t="shared" si="3"/>
        <v>0</v>
      </c>
      <c r="M65" s="1361"/>
      <c r="N65" s="1362">
        <f t="shared" si="4"/>
        <v>0</v>
      </c>
      <c r="O65" s="1361"/>
      <c r="P65" s="1362">
        <f t="shared" si="5"/>
        <v>0</v>
      </c>
      <c r="Q65" s="1361"/>
      <c r="R65" s="1363">
        <f t="shared" si="6"/>
        <v>0</v>
      </c>
      <c r="S65" s="1361"/>
      <c r="T65" s="1362">
        <f t="shared" si="7"/>
        <v>0</v>
      </c>
      <c r="U65" s="1364"/>
      <c r="V65" s="1363">
        <f t="shared" si="8"/>
        <v>0</v>
      </c>
      <c r="W65" s="1361"/>
      <c r="X65" s="1362">
        <f t="shared" si="9"/>
        <v>0</v>
      </c>
      <c r="Y65" s="1364"/>
      <c r="Z65" s="1363">
        <f t="shared" si="10"/>
        <v>0</v>
      </c>
      <c r="AA65" s="1361"/>
      <c r="AB65" s="1362">
        <f t="shared" si="11"/>
        <v>0</v>
      </c>
      <c r="AC65" s="1365"/>
      <c r="AD65" s="1391"/>
      <c r="AE65" s="662">
        <f t="shared" si="20"/>
        <v>11</v>
      </c>
      <c r="AF65" s="663">
        <f t="shared" si="23"/>
        <v>0</v>
      </c>
      <c r="AG65" s="664">
        <f t="shared" si="14"/>
        <v>0</v>
      </c>
      <c r="AH65" s="665">
        <f t="shared" si="24"/>
        <v>0</v>
      </c>
      <c r="AJ65" s="1357">
        <v>5</v>
      </c>
      <c r="AK65" s="1358"/>
    </row>
    <row r="66" spans="2:37" ht="20.25">
      <c r="B66" s="1437"/>
      <c r="C66" s="1161" t="s">
        <v>866</v>
      </c>
      <c r="D66" s="1360">
        <v>1.15</v>
      </c>
      <c r="E66" s="1361"/>
      <c r="F66" s="1362">
        <f t="shared" si="19"/>
        <v>0</v>
      </c>
      <c r="G66" s="1361"/>
      <c r="H66" s="1362">
        <f t="shared" si="1"/>
        <v>0</v>
      </c>
      <c r="I66" s="1361"/>
      <c r="J66" s="1362">
        <f t="shared" si="2"/>
        <v>0</v>
      </c>
      <c r="K66" s="1361"/>
      <c r="L66" s="1362">
        <f t="shared" si="3"/>
        <v>0</v>
      </c>
      <c r="M66" s="1361"/>
      <c r="N66" s="1362">
        <f t="shared" si="4"/>
        <v>0</v>
      </c>
      <c r="O66" s="1361"/>
      <c r="P66" s="1362">
        <f t="shared" si="5"/>
        <v>0</v>
      </c>
      <c r="Q66" s="1361"/>
      <c r="R66" s="1363">
        <f t="shared" si="6"/>
        <v>0</v>
      </c>
      <c r="S66" s="1361"/>
      <c r="T66" s="1362">
        <f t="shared" si="7"/>
        <v>0</v>
      </c>
      <c r="U66" s="1364"/>
      <c r="V66" s="1363">
        <f t="shared" si="8"/>
        <v>0</v>
      </c>
      <c r="W66" s="1361"/>
      <c r="X66" s="1362">
        <f t="shared" si="9"/>
        <v>0</v>
      </c>
      <c r="Y66" s="1364"/>
      <c r="Z66" s="1363">
        <f t="shared" si="10"/>
        <v>0</v>
      </c>
      <c r="AA66" s="1361"/>
      <c r="AB66" s="1362">
        <f t="shared" si="11"/>
        <v>0</v>
      </c>
      <c r="AC66" s="1365"/>
      <c r="AD66" s="1391"/>
      <c r="AE66" s="662">
        <f t="shared" si="20"/>
        <v>1.15</v>
      </c>
      <c r="AF66" s="663">
        <f t="shared" si="23"/>
        <v>0</v>
      </c>
      <c r="AG66" s="664">
        <f t="shared" si="14"/>
        <v>0</v>
      </c>
      <c r="AH66" s="665">
        <f t="shared" si="24"/>
        <v>0</v>
      </c>
      <c r="AJ66" s="1357">
        <v>8</v>
      </c>
      <c r="AK66" s="1358"/>
    </row>
    <row r="67" spans="2:37" ht="20.25">
      <c r="B67" s="1437"/>
      <c r="C67" s="460" t="s">
        <v>867</v>
      </c>
      <c r="D67" s="1360">
        <v>10</v>
      </c>
      <c r="E67" s="1438"/>
      <c r="F67" s="1439">
        <f t="shared" si="19"/>
        <v>0</v>
      </c>
      <c r="G67" s="1438"/>
      <c r="H67" s="1439">
        <f t="shared" si="1"/>
        <v>0</v>
      </c>
      <c r="I67" s="1438"/>
      <c r="J67" s="1439">
        <f t="shared" si="2"/>
        <v>0</v>
      </c>
      <c r="K67" s="1438"/>
      <c r="L67" s="1439">
        <f t="shared" si="3"/>
        <v>0</v>
      </c>
      <c r="M67" s="1438"/>
      <c r="N67" s="1439">
        <f t="shared" si="4"/>
        <v>0</v>
      </c>
      <c r="O67" s="1438"/>
      <c r="P67" s="1439">
        <f t="shared" si="5"/>
        <v>0</v>
      </c>
      <c r="Q67" s="1438"/>
      <c r="R67" s="1363">
        <f t="shared" si="6"/>
        <v>0</v>
      </c>
      <c r="S67" s="1361"/>
      <c r="T67" s="1362">
        <f t="shared" si="7"/>
        <v>0</v>
      </c>
      <c r="U67" s="1364"/>
      <c r="V67" s="1363">
        <f t="shared" si="8"/>
        <v>0</v>
      </c>
      <c r="W67" s="1361"/>
      <c r="X67" s="1362">
        <f t="shared" si="9"/>
        <v>0</v>
      </c>
      <c r="Y67" s="1364"/>
      <c r="Z67" s="1363">
        <f t="shared" si="10"/>
        <v>0</v>
      </c>
      <c r="AA67" s="1361"/>
      <c r="AB67" s="1362">
        <f t="shared" si="11"/>
        <v>0</v>
      </c>
      <c r="AC67" s="1365"/>
      <c r="AD67" s="1391"/>
      <c r="AE67" s="662">
        <f t="shared" si="20"/>
        <v>10</v>
      </c>
      <c r="AF67" s="663">
        <f t="shared" si="23"/>
        <v>0</v>
      </c>
      <c r="AG67" s="664">
        <f t="shared" si="14"/>
        <v>0</v>
      </c>
      <c r="AH67" s="665">
        <f t="shared" si="24"/>
        <v>0</v>
      </c>
      <c r="AJ67" s="1357">
        <v>2</v>
      </c>
      <c r="AK67" s="1358"/>
    </row>
    <row r="68" spans="2:37" ht="20.25">
      <c r="B68" s="1437"/>
      <c r="C68" s="1161" t="s">
        <v>868</v>
      </c>
      <c r="D68" s="1360">
        <v>5</v>
      </c>
      <c r="E68" s="1361"/>
      <c r="F68" s="1362">
        <f t="shared" si="19"/>
        <v>0</v>
      </c>
      <c r="G68" s="1361"/>
      <c r="H68" s="1362">
        <f t="shared" si="1"/>
        <v>0</v>
      </c>
      <c r="I68" s="1361"/>
      <c r="J68" s="1362">
        <f t="shared" si="2"/>
        <v>0</v>
      </c>
      <c r="K68" s="1361"/>
      <c r="L68" s="1362">
        <f t="shared" si="3"/>
        <v>0</v>
      </c>
      <c r="M68" s="1361"/>
      <c r="N68" s="1362">
        <f t="shared" si="4"/>
        <v>0</v>
      </c>
      <c r="O68" s="1361"/>
      <c r="P68" s="1362">
        <f t="shared" si="5"/>
        <v>0</v>
      </c>
      <c r="Q68" s="1361"/>
      <c r="R68" s="1363">
        <f t="shared" si="6"/>
        <v>0</v>
      </c>
      <c r="S68" s="1361"/>
      <c r="T68" s="1362">
        <f t="shared" si="7"/>
        <v>0</v>
      </c>
      <c r="U68" s="1364"/>
      <c r="V68" s="1363">
        <f t="shared" si="8"/>
        <v>0</v>
      </c>
      <c r="W68" s="1361"/>
      <c r="X68" s="1362">
        <f t="shared" si="9"/>
        <v>0</v>
      </c>
      <c r="Y68" s="1364"/>
      <c r="Z68" s="1363">
        <f t="shared" si="10"/>
        <v>0</v>
      </c>
      <c r="AA68" s="1361"/>
      <c r="AB68" s="1362">
        <f t="shared" si="11"/>
        <v>0</v>
      </c>
      <c r="AC68" s="1365"/>
      <c r="AD68" s="1391"/>
      <c r="AE68" s="662">
        <f t="shared" si="20"/>
        <v>5</v>
      </c>
      <c r="AF68" s="663">
        <f t="shared" si="23"/>
        <v>0</v>
      </c>
      <c r="AG68" s="664">
        <f t="shared" si="14"/>
        <v>0</v>
      </c>
      <c r="AH68" s="665">
        <f t="shared" si="24"/>
        <v>0</v>
      </c>
      <c r="AJ68" s="1357">
        <v>1</v>
      </c>
      <c r="AK68" s="1358"/>
    </row>
    <row r="69" spans="2:37" ht="20.25">
      <c r="B69" s="1437"/>
      <c r="C69" s="1161" t="s">
        <v>869</v>
      </c>
      <c r="D69" s="1360">
        <v>1</v>
      </c>
      <c r="E69" s="1361"/>
      <c r="F69" s="1362">
        <f t="shared" si="19"/>
        <v>0</v>
      </c>
      <c r="G69" s="1361"/>
      <c r="H69" s="1362">
        <f t="shared" si="1"/>
        <v>0</v>
      </c>
      <c r="I69" s="1361"/>
      <c r="J69" s="1362">
        <f t="shared" si="2"/>
        <v>0</v>
      </c>
      <c r="K69" s="1361">
        <v>1</v>
      </c>
      <c r="L69" s="1362">
        <f t="shared" si="3"/>
        <v>1</v>
      </c>
      <c r="M69" s="1361"/>
      <c r="N69" s="1362">
        <f t="shared" si="4"/>
        <v>0</v>
      </c>
      <c r="O69" s="1361"/>
      <c r="P69" s="1362">
        <f t="shared" si="5"/>
        <v>0</v>
      </c>
      <c r="Q69" s="1361"/>
      <c r="R69" s="1363">
        <f t="shared" si="6"/>
        <v>0</v>
      </c>
      <c r="S69" s="1361"/>
      <c r="T69" s="1362">
        <f t="shared" si="7"/>
        <v>0</v>
      </c>
      <c r="U69" s="1364"/>
      <c r="V69" s="1363">
        <f t="shared" si="8"/>
        <v>0</v>
      </c>
      <c r="W69" s="1361"/>
      <c r="X69" s="1362">
        <f t="shared" si="9"/>
        <v>0</v>
      </c>
      <c r="Y69" s="1364"/>
      <c r="Z69" s="1363">
        <f t="shared" si="10"/>
        <v>0</v>
      </c>
      <c r="AA69" s="1361"/>
      <c r="AB69" s="1362">
        <f t="shared" si="11"/>
        <v>0</v>
      </c>
      <c r="AC69" s="1365"/>
      <c r="AD69" s="1391"/>
      <c r="AE69" s="662">
        <f t="shared" si="20"/>
        <v>1</v>
      </c>
      <c r="AF69" s="663"/>
      <c r="AG69" s="664">
        <f t="shared" si="14"/>
        <v>1</v>
      </c>
      <c r="AH69" s="665"/>
      <c r="AJ69" s="1357">
        <v>0</v>
      </c>
      <c r="AK69" s="1358"/>
    </row>
    <row r="70" spans="2:37" ht="20.25">
      <c r="B70" s="1437"/>
      <c r="C70" s="1161" t="s">
        <v>274</v>
      </c>
      <c r="D70" s="1360">
        <v>3.9</v>
      </c>
      <c r="E70" s="1361"/>
      <c r="F70" s="1362">
        <f t="shared" si="19"/>
        <v>0</v>
      </c>
      <c r="G70" s="1361"/>
      <c r="H70" s="1362">
        <f t="shared" si="1"/>
        <v>0</v>
      </c>
      <c r="I70" s="1361"/>
      <c r="J70" s="1362">
        <f t="shared" si="2"/>
        <v>0</v>
      </c>
      <c r="K70" s="1361"/>
      <c r="L70" s="1362">
        <f t="shared" si="3"/>
        <v>0</v>
      </c>
      <c r="M70" s="1361"/>
      <c r="N70" s="1362">
        <f t="shared" si="4"/>
        <v>0</v>
      </c>
      <c r="O70" s="1361"/>
      <c r="P70" s="1362">
        <f t="shared" si="5"/>
        <v>0</v>
      </c>
      <c r="Q70" s="1361"/>
      <c r="R70" s="1363">
        <f t="shared" si="6"/>
        <v>0</v>
      </c>
      <c r="S70" s="1361"/>
      <c r="T70" s="1362">
        <f t="shared" si="7"/>
        <v>0</v>
      </c>
      <c r="U70" s="1364"/>
      <c r="V70" s="1363">
        <f t="shared" si="8"/>
        <v>0</v>
      </c>
      <c r="W70" s="1361"/>
      <c r="X70" s="1362">
        <f t="shared" si="9"/>
        <v>0</v>
      </c>
      <c r="Y70" s="1364"/>
      <c r="Z70" s="1363">
        <f t="shared" si="10"/>
        <v>0</v>
      </c>
      <c r="AA70" s="1361"/>
      <c r="AB70" s="1362">
        <f t="shared" si="11"/>
        <v>0</v>
      </c>
      <c r="AC70" s="1365"/>
      <c r="AD70" s="1391"/>
      <c r="AE70" s="662">
        <f t="shared" si="20"/>
        <v>3.9</v>
      </c>
      <c r="AF70" s="663">
        <f aca="true" t="shared" si="25" ref="AF70:AF101">AE70*AH70</f>
        <v>0</v>
      </c>
      <c r="AG70" s="664">
        <f t="shared" si="14"/>
        <v>0</v>
      </c>
      <c r="AH70" s="665">
        <f aca="true" t="shared" si="26" ref="AH70:AH75">AA70+Y70+W70+U70+S70+Q70+O70+M70+K70+I70+G70+E70</f>
        <v>0</v>
      </c>
      <c r="AJ70" s="1357">
        <v>2</v>
      </c>
      <c r="AK70" s="1358"/>
    </row>
    <row r="71" spans="2:37" ht="20.25">
      <c r="B71" s="1437"/>
      <c r="C71" s="1161" t="s">
        <v>272</v>
      </c>
      <c r="D71" s="1360">
        <v>2.5</v>
      </c>
      <c r="E71" s="1361"/>
      <c r="F71" s="1362">
        <f t="shared" si="19"/>
        <v>0</v>
      </c>
      <c r="G71" s="1361"/>
      <c r="H71" s="1362">
        <f t="shared" si="1"/>
        <v>0</v>
      </c>
      <c r="I71" s="1361">
        <v>5</v>
      </c>
      <c r="J71" s="1362">
        <f t="shared" si="2"/>
        <v>12.5</v>
      </c>
      <c r="K71" s="1361">
        <v>1</v>
      </c>
      <c r="L71" s="1362">
        <f t="shared" si="3"/>
        <v>2.5</v>
      </c>
      <c r="M71" s="1361"/>
      <c r="N71" s="1362">
        <f t="shared" si="4"/>
        <v>0</v>
      </c>
      <c r="O71" s="1361"/>
      <c r="P71" s="1362">
        <f t="shared" si="5"/>
        <v>0</v>
      </c>
      <c r="Q71" s="1361"/>
      <c r="R71" s="1363">
        <f t="shared" si="6"/>
        <v>0</v>
      </c>
      <c r="S71" s="1361"/>
      <c r="T71" s="1362">
        <f t="shared" si="7"/>
        <v>0</v>
      </c>
      <c r="U71" s="1364"/>
      <c r="V71" s="1363">
        <f t="shared" si="8"/>
        <v>0</v>
      </c>
      <c r="W71" s="1361"/>
      <c r="X71" s="1362">
        <f t="shared" si="9"/>
        <v>0</v>
      </c>
      <c r="Y71" s="1364"/>
      <c r="Z71" s="1363">
        <f t="shared" si="10"/>
        <v>0</v>
      </c>
      <c r="AA71" s="1361"/>
      <c r="AB71" s="1362">
        <f t="shared" si="11"/>
        <v>0</v>
      </c>
      <c r="AC71" s="1365"/>
      <c r="AD71" s="1391"/>
      <c r="AE71" s="662">
        <f t="shared" si="20"/>
        <v>2.5</v>
      </c>
      <c r="AF71" s="663">
        <f t="shared" si="25"/>
        <v>15</v>
      </c>
      <c r="AG71" s="664">
        <f t="shared" si="14"/>
        <v>15</v>
      </c>
      <c r="AH71" s="665">
        <f t="shared" si="26"/>
        <v>6</v>
      </c>
      <c r="AJ71" s="1357">
        <v>2</v>
      </c>
      <c r="AK71" s="1358"/>
    </row>
    <row r="72" spans="2:37" ht="20.25">
      <c r="B72" s="1437"/>
      <c r="C72" s="1161" t="s">
        <v>870</v>
      </c>
      <c r="D72" s="1360">
        <v>7.5</v>
      </c>
      <c r="E72" s="1361"/>
      <c r="F72" s="1362">
        <f t="shared" si="19"/>
        <v>0</v>
      </c>
      <c r="G72" s="1361"/>
      <c r="H72" s="1362">
        <f t="shared" si="1"/>
        <v>0</v>
      </c>
      <c r="I72" s="1361"/>
      <c r="J72" s="1362">
        <f t="shared" si="2"/>
        <v>0</v>
      </c>
      <c r="K72" s="1361"/>
      <c r="L72" s="1362">
        <f t="shared" si="3"/>
        <v>0</v>
      </c>
      <c r="M72" s="1361"/>
      <c r="N72" s="1362">
        <f t="shared" si="4"/>
        <v>0</v>
      </c>
      <c r="O72" s="1361"/>
      <c r="P72" s="1362">
        <f t="shared" si="5"/>
        <v>0</v>
      </c>
      <c r="Q72" s="1361"/>
      <c r="R72" s="1363">
        <f t="shared" si="6"/>
        <v>0</v>
      </c>
      <c r="S72" s="1361"/>
      <c r="T72" s="1362">
        <f t="shared" si="7"/>
        <v>0</v>
      </c>
      <c r="U72" s="1364"/>
      <c r="V72" s="1363">
        <f t="shared" si="8"/>
        <v>0</v>
      </c>
      <c r="W72" s="1361"/>
      <c r="X72" s="1362">
        <f t="shared" si="9"/>
        <v>0</v>
      </c>
      <c r="Y72" s="1364"/>
      <c r="Z72" s="1363">
        <f t="shared" si="10"/>
        <v>0</v>
      </c>
      <c r="AA72" s="1361"/>
      <c r="AB72" s="1362">
        <f t="shared" si="11"/>
        <v>0</v>
      </c>
      <c r="AC72" s="1365"/>
      <c r="AD72" s="1391"/>
      <c r="AE72" s="662">
        <f t="shared" si="20"/>
        <v>7.5</v>
      </c>
      <c r="AF72" s="663">
        <f t="shared" si="25"/>
        <v>0</v>
      </c>
      <c r="AG72" s="664">
        <f t="shared" si="14"/>
        <v>0</v>
      </c>
      <c r="AH72" s="665">
        <f t="shared" si="26"/>
        <v>0</v>
      </c>
      <c r="AJ72" s="1357">
        <v>1</v>
      </c>
      <c r="AK72" s="1358"/>
    </row>
    <row r="73" spans="2:37" ht="20.25">
      <c r="B73" s="1437"/>
      <c r="C73" s="1161" t="s">
        <v>871</v>
      </c>
      <c r="D73" s="1360">
        <v>32</v>
      </c>
      <c r="E73" s="1361"/>
      <c r="F73" s="1362">
        <f t="shared" si="19"/>
        <v>0</v>
      </c>
      <c r="G73" s="1361"/>
      <c r="H73" s="1362">
        <f t="shared" si="1"/>
        <v>0</v>
      </c>
      <c r="I73" s="1361"/>
      <c r="J73" s="1362">
        <f t="shared" si="2"/>
        <v>0</v>
      </c>
      <c r="K73" s="1361"/>
      <c r="L73" s="1362">
        <f t="shared" si="3"/>
        <v>0</v>
      </c>
      <c r="M73" s="1361"/>
      <c r="N73" s="1362">
        <f t="shared" si="4"/>
        <v>0</v>
      </c>
      <c r="O73" s="1361"/>
      <c r="P73" s="1362">
        <f t="shared" si="5"/>
        <v>0</v>
      </c>
      <c r="Q73" s="1361"/>
      <c r="R73" s="1363">
        <f t="shared" si="6"/>
        <v>0</v>
      </c>
      <c r="S73" s="1361"/>
      <c r="T73" s="1362">
        <f t="shared" si="7"/>
        <v>0</v>
      </c>
      <c r="U73" s="1364"/>
      <c r="V73" s="1363">
        <f t="shared" si="8"/>
        <v>0</v>
      </c>
      <c r="W73" s="1361"/>
      <c r="X73" s="1362">
        <f t="shared" si="9"/>
        <v>0</v>
      </c>
      <c r="Y73" s="1364"/>
      <c r="Z73" s="1363">
        <f t="shared" si="10"/>
        <v>0</v>
      </c>
      <c r="AA73" s="1361"/>
      <c r="AB73" s="1362">
        <f t="shared" si="11"/>
        <v>0</v>
      </c>
      <c r="AC73" s="1365"/>
      <c r="AD73" s="1391"/>
      <c r="AE73" s="662">
        <f t="shared" si="20"/>
        <v>32</v>
      </c>
      <c r="AF73" s="663">
        <f t="shared" si="25"/>
        <v>0</v>
      </c>
      <c r="AG73" s="664">
        <f t="shared" si="14"/>
        <v>0</v>
      </c>
      <c r="AH73" s="665">
        <f t="shared" si="26"/>
        <v>0</v>
      </c>
      <c r="AJ73" s="1357">
        <v>0</v>
      </c>
      <c r="AK73" s="1358">
        <v>2</v>
      </c>
    </row>
    <row r="74" spans="2:37" ht="28.5">
      <c r="B74" s="1437"/>
      <c r="C74" s="1161" t="s">
        <v>872</v>
      </c>
      <c r="D74" s="1360">
        <v>16</v>
      </c>
      <c r="E74" s="1361"/>
      <c r="F74" s="1362">
        <f t="shared" si="19"/>
        <v>0</v>
      </c>
      <c r="G74" s="1361"/>
      <c r="H74" s="1362">
        <f t="shared" si="1"/>
        <v>0</v>
      </c>
      <c r="I74" s="1361"/>
      <c r="J74" s="1362">
        <f t="shared" si="2"/>
        <v>0</v>
      </c>
      <c r="K74" s="1361"/>
      <c r="L74" s="1362">
        <f t="shared" si="3"/>
        <v>0</v>
      </c>
      <c r="M74" s="1361"/>
      <c r="N74" s="1362">
        <f t="shared" si="4"/>
        <v>0</v>
      </c>
      <c r="O74" s="1361"/>
      <c r="P74" s="1362">
        <f t="shared" si="5"/>
        <v>0</v>
      </c>
      <c r="Q74" s="1361"/>
      <c r="R74" s="1363">
        <f t="shared" si="6"/>
        <v>0</v>
      </c>
      <c r="S74" s="1361"/>
      <c r="T74" s="1362">
        <f t="shared" si="7"/>
        <v>0</v>
      </c>
      <c r="U74" s="1364"/>
      <c r="V74" s="1363">
        <f t="shared" si="8"/>
        <v>0</v>
      </c>
      <c r="W74" s="1361"/>
      <c r="X74" s="1362">
        <f t="shared" si="9"/>
        <v>0</v>
      </c>
      <c r="Y74" s="1364"/>
      <c r="Z74" s="1363">
        <f t="shared" si="10"/>
        <v>0</v>
      </c>
      <c r="AA74" s="1361"/>
      <c r="AB74" s="1362">
        <f t="shared" si="11"/>
        <v>0</v>
      </c>
      <c r="AC74" s="1365"/>
      <c r="AD74" s="1391"/>
      <c r="AE74" s="662">
        <f t="shared" si="20"/>
        <v>16</v>
      </c>
      <c r="AF74" s="663">
        <f t="shared" si="25"/>
        <v>0</v>
      </c>
      <c r="AG74" s="664">
        <f t="shared" si="14"/>
        <v>0</v>
      </c>
      <c r="AH74" s="665">
        <f t="shared" si="26"/>
        <v>0</v>
      </c>
      <c r="AJ74" s="1357">
        <v>4</v>
      </c>
      <c r="AK74" s="1358"/>
    </row>
    <row r="75" spans="2:37" ht="20.25">
      <c r="B75" s="1437"/>
      <c r="C75" s="1161" t="s">
        <v>213</v>
      </c>
      <c r="D75" s="1360">
        <v>2</v>
      </c>
      <c r="E75" s="1361"/>
      <c r="F75" s="1362">
        <f t="shared" si="19"/>
        <v>0</v>
      </c>
      <c r="G75" s="1361"/>
      <c r="H75" s="1362">
        <f t="shared" si="1"/>
        <v>0</v>
      </c>
      <c r="I75" s="1361"/>
      <c r="J75" s="1362">
        <f t="shared" si="2"/>
        <v>0</v>
      </c>
      <c r="K75" s="1361"/>
      <c r="L75" s="1362">
        <f t="shared" si="3"/>
        <v>0</v>
      </c>
      <c r="M75" s="1361"/>
      <c r="N75" s="1362">
        <f t="shared" si="4"/>
        <v>0</v>
      </c>
      <c r="O75" s="1361"/>
      <c r="P75" s="1362">
        <f t="shared" si="5"/>
        <v>0</v>
      </c>
      <c r="Q75" s="1361"/>
      <c r="R75" s="1363">
        <f t="shared" si="6"/>
        <v>0</v>
      </c>
      <c r="S75" s="1361"/>
      <c r="T75" s="1362">
        <f t="shared" si="7"/>
        <v>0</v>
      </c>
      <c r="U75" s="1364"/>
      <c r="V75" s="1363">
        <f t="shared" si="8"/>
        <v>0</v>
      </c>
      <c r="W75" s="1361"/>
      <c r="X75" s="1362">
        <f t="shared" si="9"/>
        <v>0</v>
      </c>
      <c r="Y75" s="1364"/>
      <c r="Z75" s="1363">
        <f t="shared" si="10"/>
        <v>0</v>
      </c>
      <c r="AA75" s="1361"/>
      <c r="AB75" s="1362">
        <f t="shared" si="11"/>
        <v>0</v>
      </c>
      <c r="AC75" s="1365"/>
      <c r="AD75" s="1391"/>
      <c r="AE75" s="662">
        <f t="shared" si="20"/>
        <v>2</v>
      </c>
      <c r="AF75" s="663">
        <f t="shared" si="25"/>
        <v>0</v>
      </c>
      <c r="AG75" s="664">
        <f t="shared" si="14"/>
        <v>0</v>
      </c>
      <c r="AH75" s="665">
        <f t="shared" si="26"/>
        <v>0</v>
      </c>
      <c r="AJ75" s="1357">
        <v>5</v>
      </c>
      <c r="AK75" s="1358"/>
    </row>
    <row r="76" spans="2:43" ht="20.25">
      <c r="B76" s="1437"/>
      <c r="C76" s="1161" t="s">
        <v>283</v>
      </c>
      <c r="D76" s="1440">
        <v>1.2</v>
      </c>
      <c r="E76" s="1441"/>
      <c r="F76" s="1362">
        <f t="shared" si="19"/>
        <v>0</v>
      </c>
      <c r="G76" s="658"/>
      <c r="H76" s="1362">
        <f t="shared" si="1"/>
        <v>0</v>
      </c>
      <c r="I76" s="654"/>
      <c r="J76" s="1362">
        <f t="shared" si="2"/>
        <v>0</v>
      </c>
      <c r="K76" s="658"/>
      <c r="L76" s="1362">
        <f t="shared" si="3"/>
        <v>0</v>
      </c>
      <c r="M76" s="654"/>
      <c r="N76" s="1362">
        <f t="shared" si="4"/>
        <v>0</v>
      </c>
      <c r="O76" s="658">
        <v>3</v>
      </c>
      <c r="P76" s="1362">
        <f t="shared" si="5"/>
        <v>3.5999999999999996</v>
      </c>
      <c r="Q76" s="654"/>
      <c r="R76" s="1363">
        <f t="shared" si="6"/>
        <v>0</v>
      </c>
      <c r="S76" s="654"/>
      <c r="T76" s="1362">
        <f t="shared" si="7"/>
        <v>0</v>
      </c>
      <c r="U76" s="654"/>
      <c r="V76" s="1363">
        <f t="shared" si="8"/>
        <v>0</v>
      </c>
      <c r="W76" s="658"/>
      <c r="X76" s="1362">
        <f t="shared" si="9"/>
        <v>0</v>
      </c>
      <c r="Y76" s="654"/>
      <c r="Z76" s="1363">
        <f t="shared" si="10"/>
        <v>0</v>
      </c>
      <c r="AA76" s="658"/>
      <c r="AB76" s="1362">
        <f t="shared" si="11"/>
        <v>0</v>
      </c>
      <c r="AC76" s="1365"/>
      <c r="AD76" s="1391"/>
      <c r="AE76" s="1442"/>
      <c r="AF76" s="663">
        <f t="shared" si="25"/>
        <v>0</v>
      </c>
      <c r="AG76" s="664">
        <f t="shared" si="14"/>
        <v>3.5999999999999996</v>
      </c>
      <c r="AH76" s="1003"/>
      <c r="AI76" s="1004">
        <f>SUM(AC76+AA76+Y76+W76+U76+S76+Q76+O76+M76+K76+I76+G76)</f>
        <v>3</v>
      </c>
      <c r="AJ76" s="1443">
        <v>10</v>
      </c>
      <c r="AK76" s="1444"/>
      <c r="AL76" s="1445"/>
      <c r="AM76" s="1007"/>
      <c r="AN76" s="1007"/>
      <c r="AO76" s="1007"/>
      <c r="AP76" s="1008">
        <f>(AL76+AM76)-AJ76-AN76+AO76</f>
        <v>-10</v>
      </c>
      <c r="AQ76" s="1009"/>
    </row>
    <row r="77" spans="2:43" ht="20.25">
      <c r="B77" s="1437"/>
      <c r="C77" s="1161" t="s">
        <v>873</v>
      </c>
      <c r="D77" s="1003">
        <v>1.2</v>
      </c>
      <c r="E77" s="1441"/>
      <c r="F77" s="1362">
        <f t="shared" si="19"/>
        <v>0</v>
      </c>
      <c r="G77" s="1446"/>
      <c r="H77" s="1362">
        <f t="shared" si="1"/>
        <v>0</v>
      </c>
      <c r="I77" s="1446"/>
      <c r="J77" s="1362">
        <f t="shared" si="2"/>
        <v>0</v>
      </c>
      <c r="K77" s="1446"/>
      <c r="L77" s="1362">
        <f t="shared" si="3"/>
        <v>0</v>
      </c>
      <c r="M77" s="1446"/>
      <c r="N77" s="1362">
        <f t="shared" si="4"/>
        <v>0</v>
      </c>
      <c r="O77" s="1446">
        <v>1</v>
      </c>
      <c r="P77" s="1362">
        <f t="shared" si="5"/>
        <v>1.2</v>
      </c>
      <c r="Q77" s="1446"/>
      <c r="R77" s="1363">
        <f t="shared" si="6"/>
        <v>0</v>
      </c>
      <c r="S77" s="1446"/>
      <c r="T77" s="1362">
        <f t="shared" si="7"/>
        <v>0</v>
      </c>
      <c r="U77" s="1446"/>
      <c r="V77" s="1363">
        <f t="shared" si="8"/>
        <v>0</v>
      </c>
      <c r="W77" s="1446"/>
      <c r="X77" s="1362">
        <f t="shared" si="9"/>
        <v>0</v>
      </c>
      <c r="Y77" s="1446"/>
      <c r="Z77" s="1363">
        <f t="shared" si="10"/>
        <v>0</v>
      </c>
      <c r="AA77" s="1446"/>
      <c r="AB77" s="1362">
        <f t="shared" si="11"/>
        <v>0</v>
      </c>
      <c r="AC77" s="1365"/>
      <c r="AD77" s="1391"/>
      <c r="AE77" s="1442"/>
      <c r="AF77" s="663">
        <f t="shared" si="25"/>
        <v>0</v>
      </c>
      <c r="AG77" s="664">
        <f t="shared" si="14"/>
        <v>1.2</v>
      </c>
      <c r="AH77" s="1003"/>
      <c r="AI77" s="1447"/>
      <c r="AJ77" s="1448">
        <v>5</v>
      </c>
      <c r="AK77" s="1444"/>
      <c r="AL77" s="1449"/>
      <c r="AM77" s="1450"/>
      <c r="AN77" s="1450"/>
      <c r="AO77" s="1450"/>
      <c r="AP77" s="1451"/>
      <c r="AQ77" s="1449"/>
    </row>
    <row r="78" spans="2:43" ht="20.25">
      <c r="B78" s="1437"/>
      <c r="C78" s="1161" t="s">
        <v>874</v>
      </c>
      <c r="D78" s="1003">
        <v>1.2</v>
      </c>
      <c r="E78" s="1441"/>
      <c r="F78" s="1362">
        <f t="shared" si="19"/>
        <v>0</v>
      </c>
      <c r="G78" s="1446"/>
      <c r="H78" s="1362">
        <f t="shared" si="1"/>
        <v>0</v>
      </c>
      <c r="I78" s="1446"/>
      <c r="J78" s="1362">
        <f t="shared" si="2"/>
        <v>0</v>
      </c>
      <c r="K78" s="1446"/>
      <c r="L78" s="1362">
        <f t="shared" si="3"/>
        <v>0</v>
      </c>
      <c r="M78" s="1446"/>
      <c r="N78" s="1362">
        <f t="shared" si="4"/>
        <v>0</v>
      </c>
      <c r="O78" s="1446">
        <v>1</v>
      </c>
      <c r="P78" s="1362">
        <f t="shared" si="5"/>
        <v>1.2</v>
      </c>
      <c r="Q78" s="1446"/>
      <c r="R78" s="1363">
        <f t="shared" si="6"/>
        <v>0</v>
      </c>
      <c r="S78" s="1446"/>
      <c r="T78" s="1362">
        <f t="shared" si="7"/>
        <v>0</v>
      </c>
      <c r="U78" s="1446"/>
      <c r="V78" s="1363">
        <f t="shared" si="8"/>
        <v>0</v>
      </c>
      <c r="W78" s="1446"/>
      <c r="X78" s="1362">
        <f t="shared" si="9"/>
        <v>0</v>
      </c>
      <c r="Y78" s="1446"/>
      <c r="Z78" s="1363">
        <f t="shared" si="10"/>
        <v>0</v>
      </c>
      <c r="AA78" s="1446"/>
      <c r="AB78" s="1362">
        <f t="shared" si="11"/>
        <v>0</v>
      </c>
      <c r="AC78" s="1365"/>
      <c r="AD78" s="1391"/>
      <c r="AE78" s="1442"/>
      <c r="AF78" s="663">
        <f t="shared" si="25"/>
        <v>0</v>
      </c>
      <c r="AG78" s="664">
        <f t="shared" si="14"/>
        <v>1.2</v>
      </c>
      <c r="AH78" s="1003"/>
      <c r="AI78" s="1447"/>
      <c r="AJ78" s="1448">
        <v>5</v>
      </c>
      <c r="AK78" s="1444"/>
      <c r="AL78" s="1449"/>
      <c r="AM78" s="1450"/>
      <c r="AN78" s="1450"/>
      <c r="AO78" s="1450"/>
      <c r="AP78" s="1451"/>
      <c r="AQ78" s="1449"/>
    </row>
    <row r="79" spans="2:37" ht="20.25">
      <c r="B79" s="1437"/>
      <c r="C79" s="1161" t="s">
        <v>875</v>
      </c>
      <c r="D79" s="1360">
        <v>2</v>
      </c>
      <c r="E79" s="1361"/>
      <c r="F79" s="1362">
        <f t="shared" si="19"/>
        <v>0</v>
      </c>
      <c r="G79" s="1361"/>
      <c r="H79" s="1362">
        <f t="shared" si="1"/>
        <v>0</v>
      </c>
      <c r="I79" s="1361"/>
      <c r="J79" s="1362">
        <f t="shared" si="2"/>
        <v>0</v>
      </c>
      <c r="K79" s="1361"/>
      <c r="L79" s="1362">
        <f t="shared" si="3"/>
        <v>0</v>
      </c>
      <c r="M79" s="1361"/>
      <c r="N79" s="1362">
        <f t="shared" si="4"/>
        <v>0</v>
      </c>
      <c r="O79" s="1361"/>
      <c r="P79" s="1362">
        <f t="shared" si="5"/>
        <v>0</v>
      </c>
      <c r="Q79" s="1361"/>
      <c r="R79" s="1363">
        <f t="shared" si="6"/>
        <v>0</v>
      </c>
      <c r="S79" s="1361"/>
      <c r="T79" s="1362">
        <f t="shared" si="7"/>
        <v>0</v>
      </c>
      <c r="U79" s="1364"/>
      <c r="V79" s="1363">
        <f t="shared" si="8"/>
        <v>0</v>
      </c>
      <c r="W79" s="1361"/>
      <c r="X79" s="1362">
        <f t="shared" si="9"/>
        <v>0</v>
      </c>
      <c r="Y79" s="1364"/>
      <c r="Z79" s="1363">
        <f t="shared" si="10"/>
        <v>0</v>
      </c>
      <c r="AA79" s="1361"/>
      <c r="AB79" s="1362">
        <f t="shared" si="11"/>
        <v>0</v>
      </c>
      <c r="AC79" s="1365"/>
      <c r="AD79" s="1391"/>
      <c r="AE79" s="662">
        <f aca="true" t="shared" si="27" ref="AE79:AE101">D79-AC79</f>
        <v>2</v>
      </c>
      <c r="AF79" s="663">
        <f t="shared" si="25"/>
        <v>0</v>
      </c>
      <c r="AG79" s="664">
        <f t="shared" si="14"/>
        <v>0</v>
      </c>
      <c r="AH79" s="665">
        <f aca="true" t="shared" si="28" ref="AH79:AH101">AA79+Y79+W79+U79+S79+Q79+O79+M79+K79+I79+G79+E79</f>
        <v>0</v>
      </c>
      <c r="AJ79" s="1357">
        <v>2</v>
      </c>
      <c r="AK79" s="1358"/>
    </row>
    <row r="80" spans="2:37" ht="28.5">
      <c r="B80" s="1437"/>
      <c r="C80" s="1161" t="s">
        <v>876</v>
      </c>
      <c r="D80" s="1360">
        <v>9.95</v>
      </c>
      <c r="E80" s="1361"/>
      <c r="F80" s="1362">
        <f t="shared" si="19"/>
        <v>0</v>
      </c>
      <c r="G80" s="1361"/>
      <c r="H80" s="1362">
        <f t="shared" si="1"/>
        <v>0</v>
      </c>
      <c r="I80" s="1361"/>
      <c r="J80" s="1362">
        <f t="shared" si="2"/>
        <v>0</v>
      </c>
      <c r="K80" s="1361"/>
      <c r="L80" s="1362">
        <f t="shared" si="3"/>
        <v>0</v>
      </c>
      <c r="M80" s="1361"/>
      <c r="N80" s="1362">
        <f t="shared" si="4"/>
        <v>0</v>
      </c>
      <c r="O80" s="1361"/>
      <c r="P80" s="1362">
        <f t="shared" si="5"/>
        <v>0</v>
      </c>
      <c r="Q80" s="1361"/>
      <c r="R80" s="1363">
        <f t="shared" si="6"/>
        <v>0</v>
      </c>
      <c r="S80" s="1361"/>
      <c r="T80" s="1362">
        <f t="shared" si="7"/>
        <v>0</v>
      </c>
      <c r="U80" s="1364"/>
      <c r="V80" s="1363">
        <f t="shared" si="8"/>
        <v>0</v>
      </c>
      <c r="W80" s="1361"/>
      <c r="X80" s="1362">
        <f t="shared" si="9"/>
        <v>0</v>
      </c>
      <c r="Y80" s="1364"/>
      <c r="Z80" s="1363">
        <f t="shared" si="10"/>
        <v>0</v>
      </c>
      <c r="AA80" s="1361"/>
      <c r="AB80" s="1362">
        <f t="shared" si="11"/>
        <v>0</v>
      </c>
      <c r="AC80" s="1365"/>
      <c r="AD80" s="1391"/>
      <c r="AE80" s="662">
        <f t="shared" si="27"/>
        <v>9.95</v>
      </c>
      <c r="AF80" s="663">
        <f t="shared" si="25"/>
        <v>0</v>
      </c>
      <c r="AG80" s="664">
        <f t="shared" si="14"/>
        <v>0</v>
      </c>
      <c r="AH80" s="665">
        <f t="shared" si="28"/>
        <v>0</v>
      </c>
      <c r="AJ80" s="1357">
        <v>2</v>
      </c>
      <c r="AK80" s="1358"/>
    </row>
    <row r="81" spans="2:37" ht="20.25">
      <c r="B81" s="1437"/>
      <c r="C81" s="1161" t="s">
        <v>279</v>
      </c>
      <c r="D81" s="1360">
        <v>11.25</v>
      </c>
      <c r="E81" s="1361"/>
      <c r="F81" s="1362">
        <f t="shared" si="19"/>
        <v>0</v>
      </c>
      <c r="G81" s="1361"/>
      <c r="H81" s="1362">
        <f t="shared" si="1"/>
        <v>0</v>
      </c>
      <c r="I81" s="1361"/>
      <c r="J81" s="1362">
        <f t="shared" si="2"/>
        <v>0</v>
      </c>
      <c r="K81" s="1361"/>
      <c r="L81" s="1362">
        <f t="shared" si="3"/>
        <v>0</v>
      </c>
      <c r="M81" s="1361"/>
      <c r="N81" s="1362">
        <f t="shared" si="4"/>
        <v>0</v>
      </c>
      <c r="O81" s="1361"/>
      <c r="P81" s="1362">
        <f t="shared" si="5"/>
        <v>0</v>
      </c>
      <c r="Q81" s="1361"/>
      <c r="R81" s="1363">
        <f t="shared" si="6"/>
        <v>0</v>
      </c>
      <c r="S81" s="1361"/>
      <c r="T81" s="1362">
        <f t="shared" si="7"/>
        <v>0</v>
      </c>
      <c r="U81" s="1364"/>
      <c r="V81" s="1363">
        <f t="shared" si="8"/>
        <v>0</v>
      </c>
      <c r="W81" s="1361"/>
      <c r="X81" s="1362">
        <f t="shared" si="9"/>
        <v>0</v>
      </c>
      <c r="Y81" s="1364"/>
      <c r="Z81" s="1363">
        <f t="shared" si="10"/>
        <v>0</v>
      </c>
      <c r="AA81" s="1361"/>
      <c r="AB81" s="1362">
        <f t="shared" si="11"/>
        <v>0</v>
      </c>
      <c r="AC81" s="1365"/>
      <c r="AD81" s="1391"/>
      <c r="AE81" s="662">
        <f t="shared" si="27"/>
        <v>11.25</v>
      </c>
      <c r="AF81" s="663">
        <f t="shared" si="25"/>
        <v>0</v>
      </c>
      <c r="AG81" s="664">
        <f t="shared" si="14"/>
        <v>0</v>
      </c>
      <c r="AH81" s="665">
        <f t="shared" si="28"/>
        <v>0</v>
      </c>
      <c r="AJ81" s="1357">
        <v>2</v>
      </c>
      <c r="AK81" s="1358"/>
    </row>
    <row r="82" spans="2:37" ht="20.25">
      <c r="B82" s="1437"/>
      <c r="C82" s="1161" t="s">
        <v>280</v>
      </c>
      <c r="D82" s="1360">
        <v>2.8</v>
      </c>
      <c r="E82" s="1361"/>
      <c r="F82" s="1362">
        <f t="shared" si="19"/>
        <v>0</v>
      </c>
      <c r="G82" s="1361"/>
      <c r="H82" s="1362">
        <f t="shared" si="1"/>
        <v>0</v>
      </c>
      <c r="I82" s="1361"/>
      <c r="J82" s="1362">
        <f t="shared" si="2"/>
        <v>0</v>
      </c>
      <c r="K82" s="1361"/>
      <c r="L82" s="1362">
        <f t="shared" si="3"/>
        <v>0</v>
      </c>
      <c r="M82" s="1361"/>
      <c r="N82" s="1362">
        <f t="shared" si="4"/>
        <v>0</v>
      </c>
      <c r="O82" s="1361"/>
      <c r="P82" s="1362">
        <f t="shared" si="5"/>
        <v>0</v>
      </c>
      <c r="Q82" s="1361"/>
      <c r="R82" s="1363">
        <f t="shared" si="6"/>
        <v>0</v>
      </c>
      <c r="S82" s="1361"/>
      <c r="T82" s="1362">
        <f t="shared" si="7"/>
        <v>0</v>
      </c>
      <c r="U82" s="1364"/>
      <c r="V82" s="1363">
        <f t="shared" si="8"/>
        <v>0</v>
      </c>
      <c r="W82" s="1361"/>
      <c r="X82" s="1362">
        <f t="shared" si="9"/>
        <v>0</v>
      </c>
      <c r="Y82" s="1364"/>
      <c r="Z82" s="1363">
        <f t="shared" si="10"/>
        <v>0</v>
      </c>
      <c r="AA82" s="1361"/>
      <c r="AB82" s="1362">
        <f t="shared" si="11"/>
        <v>0</v>
      </c>
      <c r="AC82" s="1365"/>
      <c r="AD82" s="1391"/>
      <c r="AE82" s="662">
        <f t="shared" si="27"/>
        <v>2.8</v>
      </c>
      <c r="AF82" s="663">
        <f t="shared" si="25"/>
        <v>0</v>
      </c>
      <c r="AG82" s="664">
        <f t="shared" si="14"/>
        <v>0</v>
      </c>
      <c r="AH82" s="665">
        <f t="shared" si="28"/>
        <v>0</v>
      </c>
      <c r="AJ82" s="1357">
        <v>4</v>
      </c>
      <c r="AK82" s="1358"/>
    </row>
    <row r="83" spans="2:37" ht="29.25">
      <c r="B83" s="1437"/>
      <c r="C83" s="1252" t="s">
        <v>877</v>
      </c>
      <c r="D83" s="540">
        <v>13.99</v>
      </c>
      <c r="E83" s="1366"/>
      <c r="F83" s="1362">
        <f t="shared" si="19"/>
        <v>0</v>
      </c>
      <c r="G83" s="1366"/>
      <c r="H83" s="1362">
        <f t="shared" si="1"/>
        <v>0</v>
      </c>
      <c r="I83" s="1366"/>
      <c r="J83" s="1362">
        <f t="shared" si="2"/>
        <v>0</v>
      </c>
      <c r="K83" s="1366"/>
      <c r="L83" s="1362">
        <f t="shared" si="3"/>
        <v>0</v>
      </c>
      <c r="M83" s="1366"/>
      <c r="N83" s="1362">
        <f t="shared" si="4"/>
        <v>0</v>
      </c>
      <c r="O83" s="1366"/>
      <c r="P83" s="1362">
        <f t="shared" si="5"/>
        <v>0</v>
      </c>
      <c r="Q83" s="1366"/>
      <c r="R83" s="1363">
        <f t="shared" si="6"/>
        <v>0</v>
      </c>
      <c r="S83" s="1366"/>
      <c r="T83" s="1362">
        <f t="shared" si="7"/>
        <v>0</v>
      </c>
      <c r="U83" s="1369"/>
      <c r="V83" s="1363">
        <f t="shared" si="8"/>
        <v>0</v>
      </c>
      <c r="W83" s="1366"/>
      <c r="X83" s="1362">
        <f t="shared" si="9"/>
        <v>0</v>
      </c>
      <c r="Y83" s="1369"/>
      <c r="Z83" s="1363">
        <f t="shared" si="10"/>
        <v>0</v>
      </c>
      <c r="AA83" s="1366"/>
      <c r="AB83" s="1362">
        <f t="shared" si="11"/>
        <v>0</v>
      </c>
      <c r="AC83" s="1370"/>
      <c r="AD83" s="1391"/>
      <c r="AE83" s="1080">
        <f t="shared" si="27"/>
        <v>13.99</v>
      </c>
      <c r="AF83" s="902">
        <f t="shared" si="25"/>
        <v>0</v>
      </c>
      <c r="AG83" s="914">
        <f t="shared" si="14"/>
        <v>0</v>
      </c>
      <c r="AH83" s="915">
        <f t="shared" si="28"/>
        <v>0</v>
      </c>
      <c r="AJ83" s="1357">
        <v>11</v>
      </c>
      <c r="AK83" s="1358"/>
    </row>
    <row r="84" spans="2:37" ht="21" customHeight="1">
      <c r="B84" s="1452" t="s">
        <v>878</v>
      </c>
      <c r="C84" s="528" t="s">
        <v>287</v>
      </c>
      <c r="D84" s="1371">
        <v>5</v>
      </c>
      <c r="E84" s="1349"/>
      <c r="F84" s="1453">
        <f t="shared" si="19"/>
        <v>0</v>
      </c>
      <c r="G84" s="1349"/>
      <c r="H84" s="1453">
        <f t="shared" si="1"/>
        <v>0</v>
      </c>
      <c r="I84" s="1349"/>
      <c r="J84" s="1453">
        <f t="shared" si="2"/>
        <v>0</v>
      </c>
      <c r="K84" s="1349"/>
      <c r="L84" s="1453">
        <f t="shared" si="3"/>
        <v>0</v>
      </c>
      <c r="M84" s="1349"/>
      <c r="N84" s="1453">
        <f t="shared" si="4"/>
        <v>0</v>
      </c>
      <c r="O84" s="1349"/>
      <c r="P84" s="1453">
        <f t="shared" si="5"/>
        <v>0</v>
      </c>
      <c r="Q84" s="1349"/>
      <c r="R84" s="1454">
        <f t="shared" si="6"/>
        <v>0</v>
      </c>
      <c r="S84" s="1349"/>
      <c r="T84" s="1453">
        <f t="shared" si="7"/>
        <v>0</v>
      </c>
      <c r="U84" s="1352"/>
      <c r="V84" s="1454">
        <f t="shared" si="8"/>
        <v>0</v>
      </c>
      <c r="W84" s="1349"/>
      <c r="X84" s="1453">
        <f t="shared" si="9"/>
        <v>0</v>
      </c>
      <c r="Y84" s="1352"/>
      <c r="Z84" s="1454">
        <f t="shared" si="10"/>
        <v>0</v>
      </c>
      <c r="AA84" s="1349"/>
      <c r="AB84" s="1453">
        <f t="shared" si="11"/>
        <v>0</v>
      </c>
      <c r="AC84" s="1353"/>
      <c r="AD84" s="1391"/>
      <c r="AE84" s="1206">
        <f t="shared" si="27"/>
        <v>5</v>
      </c>
      <c r="AF84" s="1355">
        <f t="shared" si="25"/>
        <v>0</v>
      </c>
      <c r="AG84" s="1356">
        <f t="shared" si="14"/>
        <v>0</v>
      </c>
      <c r="AH84" s="804">
        <f t="shared" si="28"/>
        <v>0</v>
      </c>
      <c r="AJ84" s="1357">
        <v>3</v>
      </c>
      <c r="AK84" s="1358"/>
    </row>
    <row r="85" spans="2:37" ht="20.25">
      <c r="B85" s="1452"/>
      <c r="C85" s="460" t="s">
        <v>288</v>
      </c>
      <c r="D85" s="1360">
        <v>3</v>
      </c>
      <c r="E85" s="1361"/>
      <c r="F85" s="1362">
        <f t="shared" si="19"/>
        <v>0</v>
      </c>
      <c r="G85" s="1361">
        <v>1</v>
      </c>
      <c r="H85" s="1362">
        <f t="shared" si="1"/>
        <v>3</v>
      </c>
      <c r="I85" s="1361"/>
      <c r="J85" s="1362">
        <f t="shared" si="2"/>
        <v>0</v>
      </c>
      <c r="K85" s="1361"/>
      <c r="L85" s="1362">
        <f t="shared" si="3"/>
        <v>0</v>
      </c>
      <c r="M85" s="1361"/>
      <c r="N85" s="1362">
        <f t="shared" si="4"/>
        <v>0</v>
      </c>
      <c r="O85" s="1361"/>
      <c r="P85" s="1362">
        <f t="shared" si="5"/>
        <v>0</v>
      </c>
      <c r="Q85" s="1361"/>
      <c r="R85" s="1363">
        <f t="shared" si="6"/>
        <v>0</v>
      </c>
      <c r="S85" s="1361"/>
      <c r="T85" s="1362">
        <f t="shared" si="7"/>
        <v>0</v>
      </c>
      <c r="U85" s="1364"/>
      <c r="V85" s="1363">
        <f t="shared" si="8"/>
        <v>0</v>
      </c>
      <c r="W85" s="1361"/>
      <c r="X85" s="1362">
        <f t="shared" si="9"/>
        <v>0</v>
      </c>
      <c r="Y85" s="1364"/>
      <c r="Z85" s="1363">
        <f t="shared" si="10"/>
        <v>0</v>
      </c>
      <c r="AA85" s="1361"/>
      <c r="AB85" s="1362">
        <f t="shared" si="11"/>
        <v>0</v>
      </c>
      <c r="AC85" s="1365"/>
      <c r="AD85" s="1391"/>
      <c r="AE85" s="662">
        <f t="shared" si="27"/>
        <v>3</v>
      </c>
      <c r="AF85" s="663">
        <f t="shared" si="25"/>
        <v>3</v>
      </c>
      <c r="AG85" s="664">
        <f t="shared" si="14"/>
        <v>3</v>
      </c>
      <c r="AH85" s="665">
        <f t="shared" si="28"/>
        <v>1</v>
      </c>
      <c r="AJ85" s="1357">
        <v>12</v>
      </c>
      <c r="AK85" s="1358"/>
    </row>
    <row r="86" spans="2:37" ht="20.25">
      <c r="B86" s="1452"/>
      <c r="C86" s="460" t="s">
        <v>289</v>
      </c>
      <c r="D86" s="1360">
        <v>2</v>
      </c>
      <c r="E86" s="1361"/>
      <c r="F86" s="1362">
        <f t="shared" si="19"/>
        <v>0</v>
      </c>
      <c r="G86" s="1361"/>
      <c r="H86" s="1362">
        <f t="shared" si="1"/>
        <v>0</v>
      </c>
      <c r="I86" s="1361"/>
      <c r="J86" s="1362">
        <f t="shared" si="2"/>
        <v>0</v>
      </c>
      <c r="K86" s="1361"/>
      <c r="L86" s="1362">
        <f t="shared" si="3"/>
        <v>0</v>
      </c>
      <c r="M86" s="1361"/>
      <c r="N86" s="1362">
        <f t="shared" si="4"/>
        <v>0</v>
      </c>
      <c r="O86" s="1361"/>
      <c r="P86" s="1362">
        <f t="shared" si="5"/>
        <v>0</v>
      </c>
      <c r="Q86" s="1361"/>
      <c r="R86" s="1363">
        <f t="shared" si="6"/>
        <v>0</v>
      </c>
      <c r="S86" s="1361"/>
      <c r="T86" s="1362">
        <f t="shared" si="7"/>
        <v>0</v>
      </c>
      <c r="U86" s="1364"/>
      <c r="V86" s="1363">
        <f t="shared" si="8"/>
        <v>0</v>
      </c>
      <c r="W86" s="1361"/>
      <c r="X86" s="1362">
        <f t="shared" si="9"/>
        <v>0</v>
      </c>
      <c r="Y86" s="1364"/>
      <c r="Z86" s="1363">
        <f t="shared" si="10"/>
        <v>0</v>
      </c>
      <c r="AA86" s="1361"/>
      <c r="AB86" s="1362">
        <f t="shared" si="11"/>
        <v>0</v>
      </c>
      <c r="AC86" s="1365"/>
      <c r="AD86" s="1391"/>
      <c r="AE86" s="662">
        <f t="shared" si="27"/>
        <v>2</v>
      </c>
      <c r="AF86" s="663">
        <f t="shared" si="25"/>
        <v>0</v>
      </c>
      <c r="AG86" s="664">
        <f t="shared" si="14"/>
        <v>0</v>
      </c>
      <c r="AH86" s="665">
        <f t="shared" si="28"/>
        <v>0</v>
      </c>
      <c r="AJ86" s="1357">
        <v>1</v>
      </c>
      <c r="AK86" s="1358"/>
    </row>
    <row r="87" spans="2:37" ht="20.25">
      <c r="B87" s="1452"/>
      <c r="C87" s="460" t="s">
        <v>879</v>
      </c>
      <c r="D87" s="1360">
        <v>5</v>
      </c>
      <c r="E87" s="1361"/>
      <c r="F87" s="1362">
        <f t="shared" si="19"/>
        <v>0</v>
      </c>
      <c r="G87" s="1361"/>
      <c r="H87" s="1362">
        <f t="shared" si="1"/>
        <v>0</v>
      </c>
      <c r="I87" s="1361"/>
      <c r="J87" s="1362">
        <f t="shared" si="2"/>
        <v>0</v>
      </c>
      <c r="K87" s="1361"/>
      <c r="L87" s="1362">
        <f t="shared" si="3"/>
        <v>0</v>
      </c>
      <c r="M87" s="1361"/>
      <c r="N87" s="1362">
        <f t="shared" si="4"/>
        <v>0</v>
      </c>
      <c r="O87" s="1361"/>
      <c r="P87" s="1362">
        <f t="shared" si="5"/>
        <v>0</v>
      </c>
      <c r="Q87" s="1361"/>
      <c r="R87" s="1363">
        <f t="shared" si="6"/>
        <v>0</v>
      </c>
      <c r="S87" s="1361"/>
      <c r="T87" s="1362">
        <f t="shared" si="7"/>
        <v>0</v>
      </c>
      <c r="U87" s="1364"/>
      <c r="V87" s="1363">
        <f t="shared" si="8"/>
        <v>0</v>
      </c>
      <c r="W87" s="1361"/>
      <c r="X87" s="1362">
        <f t="shared" si="9"/>
        <v>0</v>
      </c>
      <c r="Y87" s="1364"/>
      <c r="Z87" s="1363">
        <f t="shared" si="10"/>
        <v>0</v>
      </c>
      <c r="AA87" s="1361"/>
      <c r="AB87" s="1362">
        <f t="shared" si="11"/>
        <v>0</v>
      </c>
      <c r="AC87" s="1365"/>
      <c r="AD87" s="1391"/>
      <c r="AE87" s="662">
        <f t="shared" si="27"/>
        <v>5</v>
      </c>
      <c r="AF87" s="663">
        <f t="shared" si="25"/>
        <v>0</v>
      </c>
      <c r="AG87" s="664">
        <f t="shared" si="14"/>
        <v>0</v>
      </c>
      <c r="AH87" s="665">
        <f t="shared" si="28"/>
        <v>0</v>
      </c>
      <c r="AJ87" s="1357">
        <v>0</v>
      </c>
      <c r="AK87" s="1358"/>
    </row>
    <row r="88" spans="2:37" ht="20.25">
      <c r="B88" s="1452"/>
      <c r="C88" s="460" t="s">
        <v>290</v>
      </c>
      <c r="D88" s="1360">
        <v>1.5</v>
      </c>
      <c r="E88" s="1361"/>
      <c r="F88" s="1362">
        <f t="shared" si="19"/>
        <v>0</v>
      </c>
      <c r="G88" s="1361"/>
      <c r="H88" s="1362">
        <f t="shared" si="1"/>
        <v>0</v>
      </c>
      <c r="I88" s="1361"/>
      <c r="J88" s="1362">
        <f t="shared" si="2"/>
        <v>0</v>
      </c>
      <c r="K88" s="1361"/>
      <c r="L88" s="1362">
        <f t="shared" si="3"/>
        <v>0</v>
      </c>
      <c r="M88" s="1361"/>
      <c r="N88" s="1362">
        <f t="shared" si="4"/>
        <v>0</v>
      </c>
      <c r="O88" s="1361"/>
      <c r="P88" s="1362">
        <f t="shared" si="5"/>
        <v>0</v>
      </c>
      <c r="Q88" s="1361"/>
      <c r="R88" s="1363">
        <f t="shared" si="6"/>
        <v>0</v>
      </c>
      <c r="S88" s="1361"/>
      <c r="T88" s="1362">
        <f t="shared" si="7"/>
        <v>0</v>
      </c>
      <c r="U88" s="1364"/>
      <c r="V88" s="1363">
        <f t="shared" si="8"/>
        <v>0</v>
      </c>
      <c r="W88" s="1361"/>
      <c r="X88" s="1362">
        <f t="shared" si="9"/>
        <v>0</v>
      </c>
      <c r="Y88" s="1364"/>
      <c r="Z88" s="1363">
        <f t="shared" si="10"/>
        <v>0</v>
      </c>
      <c r="AA88" s="1361"/>
      <c r="AB88" s="1362">
        <f t="shared" si="11"/>
        <v>0</v>
      </c>
      <c r="AC88" s="1365"/>
      <c r="AD88" s="1391"/>
      <c r="AE88" s="662">
        <f t="shared" si="27"/>
        <v>1.5</v>
      </c>
      <c r="AF88" s="663">
        <f t="shared" si="25"/>
        <v>0</v>
      </c>
      <c r="AG88" s="664">
        <f t="shared" si="14"/>
        <v>0</v>
      </c>
      <c r="AH88" s="665">
        <f t="shared" si="28"/>
        <v>0</v>
      </c>
      <c r="AJ88" s="1357">
        <v>5</v>
      </c>
      <c r="AK88" s="1358"/>
    </row>
    <row r="89" spans="2:37" ht="20.25">
      <c r="B89" s="1452"/>
      <c r="C89" s="460" t="s">
        <v>291</v>
      </c>
      <c r="D89" s="1360">
        <v>3</v>
      </c>
      <c r="E89" s="1361"/>
      <c r="F89" s="1362">
        <f t="shared" si="19"/>
        <v>0</v>
      </c>
      <c r="G89" s="1361"/>
      <c r="H89" s="1362">
        <f t="shared" si="1"/>
        <v>0</v>
      </c>
      <c r="I89" s="1361"/>
      <c r="J89" s="1362">
        <f t="shared" si="2"/>
        <v>0</v>
      </c>
      <c r="K89" s="1361"/>
      <c r="L89" s="1362">
        <f t="shared" si="3"/>
        <v>0</v>
      </c>
      <c r="M89" s="1361"/>
      <c r="N89" s="1362">
        <f t="shared" si="4"/>
        <v>0</v>
      </c>
      <c r="O89" s="1361"/>
      <c r="P89" s="1362">
        <f t="shared" si="5"/>
        <v>0</v>
      </c>
      <c r="Q89" s="1361"/>
      <c r="R89" s="1363">
        <f t="shared" si="6"/>
        <v>0</v>
      </c>
      <c r="S89" s="1361"/>
      <c r="T89" s="1362">
        <f t="shared" si="7"/>
        <v>0</v>
      </c>
      <c r="U89" s="1364"/>
      <c r="V89" s="1363">
        <f t="shared" si="8"/>
        <v>0</v>
      </c>
      <c r="W89" s="1361"/>
      <c r="X89" s="1362">
        <f t="shared" si="9"/>
        <v>0</v>
      </c>
      <c r="Y89" s="1364"/>
      <c r="Z89" s="1363">
        <f t="shared" si="10"/>
        <v>0</v>
      </c>
      <c r="AA89" s="1361"/>
      <c r="AB89" s="1362">
        <f t="shared" si="11"/>
        <v>0</v>
      </c>
      <c r="AC89" s="1365"/>
      <c r="AD89" s="1391"/>
      <c r="AE89" s="662">
        <f t="shared" si="27"/>
        <v>3</v>
      </c>
      <c r="AF89" s="663">
        <f t="shared" si="25"/>
        <v>0</v>
      </c>
      <c r="AG89" s="664">
        <f t="shared" si="14"/>
        <v>0</v>
      </c>
      <c r="AH89" s="665">
        <f t="shared" si="28"/>
        <v>0</v>
      </c>
      <c r="AJ89" s="1357">
        <v>1</v>
      </c>
      <c r="AK89" s="1358"/>
    </row>
    <row r="90" spans="2:37" ht="21">
      <c r="B90" s="1452"/>
      <c r="C90" s="529" t="s">
        <v>292</v>
      </c>
      <c r="D90" s="540">
        <v>5</v>
      </c>
      <c r="E90" s="1366"/>
      <c r="F90" s="1375">
        <f t="shared" si="19"/>
        <v>0</v>
      </c>
      <c r="G90" s="1366"/>
      <c r="H90" s="1375">
        <f t="shared" si="1"/>
        <v>0</v>
      </c>
      <c r="I90" s="1366"/>
      <c r="J90" s="1375">
        <f t="shared" si="2"/>
        <v>0</v>
      </c>
      <c r="K90" s="1366"/>
      <c r="L90" s="1375">
        <f t="shared" si="3"/>
        <v>0</v>
      </c>
      <c r="M90" s="1366"/>
      <c r="N90" s="1375">
        <f t="shared" si="4"/>
        <v>0</v>
      </c>
      <c r="O90" s="1366"/>
      <c r="P90" s="1375">
        <f t="shared" si="5"/>
        <v>0</v>
      </c>
      <c r="Q90" s="1366"/>
      <c r="R90" s="1376">
        <f t="shared" si="6"/>
        <v>0</v>
      </c>
      <c r="S90" s="1366"/>
      <c r="T90" s="1375">
        <f t="shared" si="7"/>
        <v>0</v>
      </c>
      <c r="U90" s="1369"/>
      <c r="V90" s="1376">
        <f t="shared" si="8"/>
        <v>0</v>
      </c>
      <c r="W90" s="1366"/>
      <c r="X90" s="1375">
        <f t="shared" si="9"/>
        <v>0</v>
      </c>
      <c r="Y90" s="1369"/>
      <c r="Z90" s="1376">
        <f t="shared" si="10"/>
        <v>0</v>
      </c>
      <c r="AA90" s="1366"/>
      <c r="AB90" s="1375">
        <f t="shared" si="11"/>
        <v>0</v>
      </c>
      <c r="AC90" s="1455"/>
      <c r="AD90" s="1391"/>
      <c r="AE90" s="686">
        <f t="shared" si="27"/>
        <v>5</v>
      </c>
      <c r="AF90" s="687">
        <f t="shared" si="25"/>
        <v>0</v>
      </c>
      <c r="AG90" s="688">
        <f t="shared" si="14"/>
        <v>0</v>
      </c>
      <c r="AH90" s="689">
        <f t="shared" si="28"/>
        <v>0</v>
      </c>
      <c r="AJ90" s="1357">
        <v>2</v>
      </c>
      <c r="AK90" s="1358"/>
    </row>
    <row r="91" spans="2:37" ht="21" customHeight="1">
      <c r="B91" s="527" t="s">
        <v>293</v>
      </c>
      <c r="C91" s="528" t="s">
        <v>294</v>
      </c>
      <c r="D91" s="1371">
        <v>3</v>
      </c>
      <c r="E91" s="1349"/>
      <c r="F91" s="1453">
        <f t="shared" si="19"/>
        <v>0</v>
      </c>
      <c r="G91" s="1349"/>
      <c r="H91" s="1453">
        <f t="shared" si="1"/>
        <v>0</v>
      </c>
      <c r="I91" s="1349"/>
      <c r="J91" s="1453">
        <f t="shared" si="2"/>
        <v>0</v>
      </c>
      <c r="K91" s="1349"/>
      <c r="L91" s="1453">
        <f t="shared" si="3"/>
        <v>0</v>
      </c>
      <c r="M91" s="1349"/>
      <c r="N91" s="1453">
        <f t="shared" si="4"/>
        <v>0</v>
      </c>
      <c r="O91" s="1349"/>
      <c r="P91" s="1453">
        <f t="shared" si="5"/>
        <v>0</v>
      </c>
      <c r="Q91" s="1349"/>
      <c r="R91" s="1454">
        <f t="shared" si="6"/>
        <v>0</v>
      </c>
      <c r="S91" s="1349"/>
      <c r="T91" s="1453">
        <f t="shared" si="7"/>
        <v>0</v>
      </c>
      <c r="U91" s="1352"/>
      <c r="V91" s="1454">
        <f t="shared" si="8"/>
        <v>0</v>
      </c>
      <c r="W91" s="1349"/>
      <c r="X91" s="1453">
        <f t="shared" si="9"/>
        <v>0</v>
      </c>
      <c r="Y91" s="1352"/>
      <c r="Z91" s="1454">
        <f t="shared" si="10"/>
        <v>0</v>
      </c>
      <c r="AA91" s="1349"/>
      <c r="AB91" s="1453">
        <f t="shared" si="11"/>
        <v>0</v>
      </c>
      <c r="AC91" s="1353">
        <f>'[2]Ventes St Sever'!$AD$84</f>
        <v>2</v>
      </c>
      <c r="AD91" s="1391"/>
      <c r="AE91" s="1206">
        <f t="shared" si="27"/>
        <v>1</v>
      </c>
      <c r="AF91" s="1355">
        <f t="shared" si="25"/>
        <v>0</v>
      </c>
      <c r="AG91" s="1356">
        <f t="shared" si="14"/>
        <v>0</v>
      </c>
      <c r="AH91" s="804">
        <f t="shared" si="28"/>
        <v>0</v>
      </c>
      <c r="AJ91" s="1357">
        <v>17</v>
      </c>
      <c r="AK91" s="1358"/>
    </row>
    <row r="92" spans="2:37" ht="20.25">
      <c r="B92" s="527"/>
      <c r="C92" s="460" t="s">
        <v>295</v>
      </c>
      <c r="D92" s="1360">
        <v>3</v>
      </c>
      <c r="E92" s="1361"/>
      <c r="F92" s="1362">
        <f t="shared" si="19"/>
        <v>0</v>
      </c>
      <c r="G92" s="1361"/>
      <c r="H92" s="1362">
        <f t="shared" si="1"/>
        <v>0</v>
      </c>
      <c r="I92" s="1361"/>
      <c r="J92" s="1362">
        <f t="shared" si="2"/>
        <v>0</v>
      </c>
      <c r="K92" s="1361"/>
      <c r="L92" s="1362">
        <f t="shared" si="3"/>
        <v>0</v>
      </c>
      <c r="M92" s="1361"/>
      <c r="N92" s="1362">
        <f t="shared" si="4"/>
        <v>0</v>
      </c>
      <c r="O92" s="1361"/>
      <c r="P92" s="1362">
        <f t="shared" si="5"/>
        <v>0</v>
      </c>
      <c r="Q92" s="1361"/>
      <c r="R92" s="1363">
        <f t="shared" si="6"/>
        <v>0</v>
      </c>
      <c r="S92" s="1361"/>
      <c r="T92" s="1362">
        <f t="shared" si="7"/>
        <v>0</v>
      </c>
      <c r="U92" s="1364"/>
      <c r="V92" s="1363">
        <f t="shared" si="8"/>
        <v>0</v>
      </c>
      <c r="W92" s="1361"/>
      <c r="X92" s="1362">
        <f t="shared" si="9"/>
        <v>0</v>
      </c>
      <c r="Y92" s="1364"/>
      <c r="Z92" s="1363">
        <f t="shared" si="10"/>
        <v>0</v>
      </c>
      <c r="AA92" s="1361"/>
      <c r="AB92" s="1362">
        <f t="shared" si="11"/>
        <v>0</v>
      </c>
      <c r="AC92" s="1365">
        <f>'[2]Ventes St Sever'!$AD$85</f>
        <v>2</v>
      </c>
      <c r="AD92" s="1391"/>
      <c r="AE92" s="662">
        <f t="shared" si="27"/>
        <v>1</v>
      </c>
      <c r="AF92" s="663">
        <f t="shared" si="25"/>
        <v>0</v>
      </c>
      <c r="AG92" s="664">
        <f t="shared" si="14"/>
        <v>0</v>
      </c>
      <c r="AH92" s="665">
        <f t="shared" si="28"/>
        <v>0</v>
      </c>
      <c r="AJ92" s="1357">
        <v>6</v>
      </c>
      <c r="AK92" s="1358"/>
    </row>
    <row r="93" spans="2:37" ht="20.25">
      <c r="B93" s="527"/>
      <c r="C93" s="460" t="s">
        <v>297</v>
      </c>
      <c r="D93" s="1360">
        <v>7</v>
      </c>
      <c r="E93" s="1361"/>
      <c r="F93" s="1362">
        <f t="shared" si="19"/>
        <v>0</v>
      </c>
      <c r="G93" s="1361"/>
      <c r="H93" s="1362">
        <f t="shared" si="1"/>
        <v>0</v>
      </c>
      <c r="I93" s="1361"/>
      <c r="J93" s="1362">
        <f t="shared" si="2"/>
        <v>0</v>
      </c>
      <c r="K93" s="1361"/>
      <c r="L93" s="1362">
        <f t="shared" si="3"/>
        <v>0</v>
      </c>
      <c r="M93" s="1361"/>
      <c r="N93" s="1362">
        <f t="shared" si="4"/>
        <v>0</v>
      </c>
      <c r="O93" s="1361"/>
      <c r="P93" s="1362">
        <f t="shared" si="5"/>
        <v>0</v>
      </c>
      <c r="Q93" s="1361"/>
      <c r="R93" s="1363">
        <f t="shared" si="6"/>
        <v>0</v>
      </c>
      <c r="S93" s="1361"/>
      <c r="T93" s="1362">
        <f t="shared" si="7"/>
        <v>0</v>
      </c>
      <c r="U93" s="1364"/>
      <c r="V93" s="1363">
        <f t="shared" si="8"/>
        <v>0</v>
      </c>
      <c r="W93" s="1361"/>
      <c r="X93" s="1362">
        <f t="shared" si="9"/>
        <v>0</v>
      </c>
      <c r="Y93" s="1364"/>
      <c r="Z93" s="1363">
        <f t="shared" si="10"/>
        <v>0</v>
      </c>
      <c r="AA93" s="1361"/>
      <c r="AB93" s="1362">
        <f t="shared" si="11"/>
        <v>0</v>
      </c>
      <c r="AC93" s="1365"/>
      <c r="AD93" s="1391"/>
      <c r="AE93" s="662">
        <f t="shared" si="27"/>
        <v>7</v>
      </c>
      <c r="AF93" s="663">
        <f t="shared" si="25"/>
        <v>0</v>
      </c>
      <c r="AG93" s="664">
        <f t="shared" si="14"/>
        <v>0</v>
      </c>
      <c r="AH93" s="665">
        <f t="shared" si="28"/>
        <v>0</v>
      </c>
      <c r="AJ93" s="1357">
        <v>3</v>
      </c>
      <c r="AK93" s="1358"/>
    </row>
    <row r="94" spans="2:37" ht="20.25">
      <c r="B94" s="527"/>
      <c r="C94" s="460" t="s">
        <v>299</v>
      </c>
      <c r="D94" s="1360">
        <v>20</v>
      </c>
      <c r="E94" s="1361"/>
      <c r="F94" s="1362">
        <f t="shared" si="19"/>
        <v>0</v>
      </c>
      <c r="G94" s="1361"/>
      <c r="H94" s="1362">
        <f t="shared" si="1"/>
        <v>0</v>
      </c>
      <c r="I94" s="1361"/>
      <c r="J94" s="1362">
        <f t="shared" si="2"/>
        <v>0</v>
      </c>
      <c r="K94" s="1361"/>
      <c r="L94" s="1362">
        <f t="shared" si="3"/>
        <v>0</v>
      </c>
      <c r="M94" s="1361"/>
      <c r="N94" s="1362">
        <f t="shared" si="4"/>
        <v>0</v>
      </c>
      <c r="O94" s="1361"/>
      <c r="P94" s="1362">
        <f t="shared" si="5"/>
        <v>0</v>
      </c>
      <c r="Q94" s="1361"/>
      <c r="R94" s="1363">
        <f t="shared" si="6"/>
        <v>0</v>
      </c>
      <c r="S94" s="1361"/>
      <c r="T94" s="1362">
        <f t="shared" si="7"/>
        <v>0</v>
      </c>
      <c r="U94" s="1364"/>
      <c r="V94" s="1363">
        <f t="shared" si="8"/>
        <v>0</v>
      </c>
      <c r="W94" s="1361"/>
      <c r="X94" s="1362">
        <f t="shared" si="9"/>
        <v>0</v>
      </c>
      <c r="Y94" s="1364"/>
      <c r="Z94" s="1363">
        <f t="shared" si="10"/>
        <v>0</v>
      </c>
      <c r="AA94" s="1361"/>
      <c r="AB94" s="1362">
        <f t="shared" si="11"/>
        <v>0</v>
      </c>
      <c r="AC94" s="1365"/>
      <c r="AD94" s="1391"/>
      <c r="AE94" s="662">
        <f t="shared" si="27"/>
        <v>20</v>
      </c>
      <c r="AF94" s="663">
        <f t="shared" si="25"/>
        <v>0</v>
      </c>
      <c r="AG94" s="664">
        <f t="shared" si="14"/>
        <v>0</v>
      </c>
      <c r="AH94" s="665">
        <f t="shared" si="28"/>
        <v>0</v>
      </c>
      <c r="AJ94" s="1357">
        <v>2</v>
      </c>
      <c r="AK94" s="1358"/>
    </row>
    <row r="95" spans="2:37" ht="20.25">
      <c r="B95" s="527"/>
      <c r="C95" s="460" t="s">
        <v>237</v>
      </c>
      <c r="D95" s="1360">
        <v>3</v>
      </c>
      <c r="E95" s="1361"/>
      <c r="F95" s="1362">
        <f t="shared" si="19"/>
        <v>0</v>
      </c>
      <c r="G95" s="1361"/>
      <c r="H95" s="1362">
        <f t="shared" si="1"/>
        <v>0</v>
      </c>
      <c r="I95" s="1361"/>
      <c r="J95" s="1362">
        <f t="shared" si="2"/>
        <v>0</v>
      </c>
      <c r="K95" s="1361"/>
      <c r="L95" s="1362">
        <f t="shared" si="3"/>
        <v>0</v>
      </c>
      <c r="M95" s="1361"/>
      <c r="N95" s="1362">
        <f t="shared" si="4"/>
        <v>0</v>
      </c>
      <c r="O95" s="1361"/>
      <c r="P95" s="1362">
        <f t="shared" si="5"/>
        <v>0</v>
      </c>
      <c r="Q95" s="1361"/>
      <c r="R95" s="1363">
        <f t="shared" si="6"/>
        <v>0</v>
      </c>
      <c r="S95" s="1361"/>
      <c r="T95" s="1362">
        <f t="shared" si="7"/>
        <v>0</v>
      </c>
      <c r="U95" s="1364"/>
      <c r="V95" s="1363">
        <f t="shared" si="8"/>
        <v>0</v>
      </c>
      <c r="W95" s="1361"/>
      <c r="X95" s="1362">
        <f t="shared" si="9"/>
        <v>0</v>
      </c>
      <c r="Y95" s="1364"/>
      <c r="Z95" s="1363">
        <f t="shared" si="10"/>
        <v>0</v>
      </c>
      <c r="AA95" s="1361"/>
      <c r="AB95" s="1362">
        <f t="shared" si="11"/>
        <v>0</v>
      </c>
      <c r="AC95" s="1365"/>
      <c r="AD95" s="1391"/>
      <c r="AE95" s="662">
        <f t="shared" si="27"/>
        <v>3</v>
      </c>
      <c r="AF95" s="663">
        <f t="shared" si="25"/>
        <v>0</v>
      </c>
      <c r="AG95" s="664">
        <f t="shared" si="14"/>
        <v>0</v>
      </c>
      <c r="AH95" s="665">
        <f t="shared" si="28"/>
        <v>0</v>
      </c>
      <c r="AJ95" s="1357">
        <v>24</v>
      </c>
      <c r="AK95" s="1358"/>
    </row>
    <row r="96" spans="2:37" ht="20.25">
      <c r="B96" s="527"/>
      <c r="C96" s="460" t="s">
        <v>298</v>
      </c>
      <c r="D96" s="1360">
        <v>12</v>
      </c>
      <c r="E96" s="1361"/>
      <c r="F96" s="1362">
        <f t="shared" si="19"/>
        <v>0</v>
      </c>
      <c r="G96" s="1361"/>
      <c r="H96" s="1362">
        <f t="shared" si="1"/>
        <v>0</v>
      </c>
      <c r="I96" s="1361"/>
      <c r="J96" s="1362">
        <f t="shared" si="2"/>
        <v>0</v>
      </c>
      <c r="K96" s="1361"/>
      <c r="L96" s="1362">
        <f t="shared" si="3"/>
        <v>0</v>
      </c>
      <c r="M96" s="1361"/>
      <c r="N96" s="1362">
        <f t="shared" si="4"/>
        <v>0</v>
      </c>
      <c r="O96" s="1361"/>
      <c r="P96" s="1362">
        <f t="shared" si="5"/>
        <v>0</v>
      </c>
      <c r="Q96" s="1361"/>
      <c r="R96" s="1363">
        <f t="shared" si="6"/>
        <v>0</v>
      </c>
      <c r="S96" s="1361"/>
      <c r="T96" s="1362">
        <f t="shared" si="7"/>
        <v>0</v>
      </c>
      <c r="U96" s="1364"/>
      <c r="V96" s="1363">
        <f t="shared" si="8"/>
        <v>0</v>
      </c>
      <c r="W96" s="1361"/>
      <c r="X96" s="1362">
        <f t="shared" si="9"/>
        <v>0</v>
      </c>
      <c r="Y96" s="1364"/>
      <c r="Z96" s="1363">
        <f t="shared" si="10"/>
        <v>0</v>
      </c>
      <c r="AA96" s="1361"/>
      <c r="AB96" s="1362">
        <f t="shared" si="11"/>
        <v>0</v>
      </c>
      <c r="AC96" s="1365"/>
      <c r="AD96" s="1391"/>
      <c r="AE96" s="662">
        <f t="shared" si="27"/>
        <v>12</v>
      </c>
      <c r="AF96" s="663">
        <f t="shared" si="25"/>
        <v>0</v>
      </c>
      <c r="AG96" s="664">
        <f t="shared" si="14"/>
        <v>0</v>
      </c>
      <c r="AH96" s="665">
        <f t="shared" si="28"/>
        <v>0</v>
      </c>
      <c r="AJ96" s="1357">
        <v>0</v>
      </c>
      <c r="AK96" s="1358"/>
    </row>
    <row r="97" spans="2:37" ht="21">
      <c r="B97" s="527"/>
      <c r="C97" s="529" t="s">
        <v>300</v>
      </c>
      <c r="D97" s="540">
        <v>5</v>
      </c>
      <c r="E97" s="1366"/>
      <c r="F97" s="1375">
        <f t="shared" si="19"/>
        <v>0</v>
      </c>
      <c r="G97" s="1366"/>
      <c r="H97" s="1375">
        <f t="shared" si="1"/>
        <v>0</v>
      </c>
      <c r="I97" s="1366"/>
      <c r="J97" s="1375">
        <f t="shared" si="2"/>
        <v>0</v>
      </c>
      <c r="K97" s="1366"/>
      <c r="L97" s="1375">
        <f t="shared" si="3"/>
        <v>0</v>
      </c>
      <c r="M97" s="1366"/>
      <c r="N97" s="1375">
        <f t="shared" si="4"/>
        <v>0</v>
      </c>
      <c r="O97" s="1366"/>
      <c r="P97" s="1375">
        <f t="shared" si="5"/>
        <v>0</v>
      </c>
      <c r="Q97" s="1366"/>
      <c r="R97" s="1376">
        <f t="shared" si="6"/>
        <v>0</v>
      </c>
      <c r="S97" s="1366"/>
      <c r="T97" s="1375">
        <f t="shared" si="7"/>
        <v>0</v>
      </c>
      <c r="U97" s="1369"/>
      <c r="V97" s="1376">
        <f t="shared" si="8"/>
        <v>0</v>
      </c>
      <c r="W97" s="1366"/>
      <c r="X97" s="1375">
        <f t="shared" si="9"/>
        <v>0</v>
      </c>
      <c r="Y97" s="1369"/>
      <c r="Z97" s="1376">
        <f t="shared" si="10"/>
        <v>0</v>
      </c>
      <c r="AA97" s="1366"/>
      <c r="AB97" s="1375">
        <f t="shared" si="11"/>
        <v>0</v>
      </c>
      <c r="AC97" s="1370">
        <f>'[2]Ventes St Sever'!$AD$86</f>
        <v>3</v>
      </c>
      <c r="AD97" s="1391"/>
      <c r="AE97" s="1080">
        <f t="shared" si="27"/>
        <v>2</v>
      </c>
      <c r="AF97" s="902">
        <f t="shared" si="25"/>
        <v>0</v>
      </c>
      <c r="AG97" s="914">
        <f t="shared" si="14"/>
        <v>0</v>
      </c>
      <c r="AH97" s="915">
        <f t="shared" si="28"/>
        <v>0</v>
      </c>
      <c r="AJ97" s="1357">
        <v>7</v>
      </c>
      <c r="AK97" s="1358"/>
    </row>
    <row r="98" spans="2:37" ht="21.75">
      <c r="B98" s="1456" t="s">
        <v>880</v>
      </c>
      <c r="C98" s="1457" t="s">
        <v>706</v>
      </c>
      <c r="D98" s="1458">
        <v>3</v>
      </c>
      <c r="E98" s="1459"/>
      <c r="F98" s="1460">
        <f t="shared" si="19"/>
        <v>0</v>
      </c>
      <c r="G98" s="1459"/>
      <c r="H98" s="1460">
        <f t="shared" si="1"/>
        <v>0</v>
      </c>
      <c r="I98" s="1459"/>
      <c r="J98" s="1460">
        <f t="shared" si="2"/>
        <v>0</v>
      </c>
      <c r="K98" s="1459"/>
      <c r="L98" s="1460">
        <f t="shared" si="3"/>
        <v>0</v>
      </c>
      <c r="M98" s="1459"/>
      <c r="N98" s="1460">
        <f t="shared" si="4"/>
        <v>0</v>
      </c>
      <c r="O98" s="1459"/>
      <c r="P98" s="1460">
        <f t="shared" si="5"/>
        <v>0</v>
      </c>
      <c r="Q98" s="1459"/>
      <c r="R98" s="1461">
        <f t="shared" si="6"/>
        <v>0</v>
      </c>
      <c r="S98" s="1459"/>
      <c r="T98" s="1460">
        <f t="shared" si="7"/>
        <v>0</v>
      </c>
      <c r="U98" s="1462"/>
      <c r="V98" s="1461">
        <f t="shared" si="8"/>
        <v>0</v>
      </c>
      <c r="W98" s="1459"/>
      <c r="X98" s="1460">
        <f t="shared" si="9"/>
        <v>0</v>
      </c>
      <c r="Y98" s="1462"/>
      <c r="Z98" s="1461">
        <f t="shared" si="10"/>
        <v>0</v>
      </c>
      <c r="AA98" s="1459"/>
      <c r="AB98" s="1460">
        <f t="shared" si="11"/>
        <v>0</v>
      </c>
      <c r="AC98" s="1463"/>
      <c r="AD98" s="1391"/>
      <c r="AE98" s="1265">
        <f t="shared" si="27"/>
        <v>3</v>
      </c>
      <c r="AF98" s="1464">
        <f t="shared" si="25"/>
        <v>0</v>
      </c>
      <c r="AG98" s="1465">
        <f t="shared" si="14"/>
        <v>0</v>
      </c>
      <c r="AH98" s="1466">
        <f t="shared" si="28"/>
        <v>0</v>
      </c>
      <c r="AJ98" s="1357">
        <v>9</v>
      </c>
      <c r="AK98" s="1358"/>
    </row>
    <row r="99" spans="2:37" ht="21" customHeight="1">
      <c r="B99" s="527" t="s">
        <v>881</v>
      </c>
      <c r="C99" s="528" t="s">
        <v>334</v>
      </c>
      <c r="D99" s="1371">
        <v>15</v>
      </c>
      <c r="E99" s="1349"/>
      <c r="F99" s="1350">
        <f t="shared" si="19"/>
        <v>0</v>
      </c>
      <c r="G99" s="1349"/>
      <c r="H99" s="1350">
        <f t="shared" si="1"/>
        <v>0</v>
      </c>
      <c r="I99" s="1349"/>
      <c r="J99" s="1350">
        <f t="shared" si="2"/>
        <v>0</v>
      </c>
      <c r="K99" s="1349"/>
      <c r="L99" s="1350">
        <f t="shared" si="3"/>
        <v>0</v>
      </c>
      <c r="M99" s="1349"/>
      <c r="N99" s="1350">
        <f t="shared" si="4"/>
        <v>0</v>
      </c>
      <c r="O99" s="1349"/>
      <c r="P99" s="1350">
        <f t="shared" si="5"/>
        <v>0</v>
      </c>
      <c r="Q99" s="1349"/>
      <c r="R99" s="1351">
        <f t="shared" si="6"/>
        <v>0</v>
      </c>
      <c r="S99" s="1349"/>
      <c r="T99" s="1350">
        <f t="shared" si="7"/>
        <v>0</v>
      </c>
      <c r="U99" s="1352"/>
      <c r="V99" s="1351">
        <f t="shared" si="8"/>
        <v>0</v>
      </c>
      <c r="W99" s="1349"/>
      <c r="X99" s="1350">
        <f t="shared" si="9"/>
        <v>0</v>
      </c>
      <c r="Y99" s="1352"/>
      <c r="Z99" s="1351">
        <f t="shared" si="10"/>
        <v>0</v>
      </c>
      <c r="AA99" s="1349"/>
      <c r="AB99" s="1350">
        <f t="shared" si="11"/>
        <v>0</v>
      </c>
      <c r="AC99" s="1353">
        <f>'[2]Ventes St Sever'!$AD$104</f>
        <v>9.95</v>
      </c>
      <c r="AD99" s="1391"/>
      <c r="AE99" s="1206">
        <f t="shared" si="27"/>
        <v>5.050000000000001</v>
      </c>
      <c r="AF99" s="1355">
        <f t="shared" si="25"/>
        <v>0</v>
      </c>
      <c r="AG99" s="1356">
        <f t="shared" si="14"/>
        <v>0</v>
      </c>
      <c r="AH99" s="804">
        <f t="shared" si="28"/>
        <v>0</v>
      </c>
      <c r="AJ99" s="1357">
        <v>4</v>
      </c>
      <c r="AK99" s="1358"/>
    </row>
    <row r="100" spans="2:37" ht="20.25">
      <c r="B100" s="527"/>
      <c r="C100" s="460" t="s">
        <v>335</v>
      </c>
      <c r="D100" s="1360">
        <v>21</v>
      </c>
      <c r="E100" s="1361"/>
      <c r="F100" s="1362">
        <f t="shared" si="19"/>
        <v>0</v>
      </c>
      <c r="G100" s="1361"/>
      <c r="H100" s="1362">
        <f t="shared" si="1"/>
        <v>0</v>
      </c>
      <c r="I100" s="1361"/>
      <c r="J100" s="1362">
        <f t="shared" si="2"/>
        <v>0</v>
      </c>
      <c r="K100" s="1361"/>
      <c r="L100" s="1362">
        <f t="shared" si="3"/>
        <v>0</v>
      </c>
      <c r="M100" s="1361"/>
      <c r="N100" s="1362">
        <f t="shared" si="4"/>
        <v>0</v>
      </c>
      <c r="O100" s="1361"/>
      <c r="P100" s="1362">
        <f t="shared" si="5"/>
        <v>0</v>
      </c>
      <c r="Q100" s="1361"/>
      <c r="R100" s="1363">
        <f t="shared" si="6"/>
        <v>0</v>
      </c>
      <c r="S100" s="1361"/>
      <c r="T100" s="1362">
        <f t="shared" si="7"/>
        <v>0</v>
      </c>
      <c r="U100" s="1364"/>
      <c r="V100" s="1363">
        <f t="shared" si="8"/>
        <v>0</v>
      </c>
      <c r="W100" s="1361"/>
      <c r="X100" s="1362">
        <f t="shared" si="9"/>
        <v>0</v>
      </c>
      <c r="Y100" s="1364"/>
      <c r="Z100" s="1363">
        <f t="shared" si="10"/>
        <v>0</v>
      </c>
      <c r="AA100" s="1361"/>
      <c r="AB100" s="1362">
        <f t="shared" si="11"/>
        <v>0</v>
      </c>
      <c r="AC100" s="1365">
        <f>'[2]Ventes St Sever'!$AD$103</f>
        <v>14.1</v>
      </c>
      <c r="AD100" s="1391"/>
      <c r="AE100" s="662">
        <f t="shared" si="27"/>
        <v>6.9</v>
      </c>
      <c r="AF100" s="663">
        <f t="shared" si="25"/>
        <v>0</v>
      </c>
      <c r="AG100" s="664">
        <f t="shared" si="14"/>
        <v>0</v>
      </c>
      <c r="AH100" s="665">
        <f t="shared" si="28"/>
        <v>0</v>
      </c>
      <c r="AJ100" s="1357">
        <v>20</v>
      </c>
      <c r="AK100" s="1358"/>
    </row>
    <row r="101" spans="2:37" ht="20.25">
      <c r="B101" s="527"/>
      <c r="C101" s="460" t="s">
        <v>336</v>
      </c>
      <c r="D101" s="1360">
        <v>21</v>
      </c>
      <c r="E101" s="1361"/>
      <c r="F101" s="1362">
        <f t="shared" si="19"/>
        <v>0</v>
      </c>
      <c r="G101" s="1361"/>
      <c r="H101" s="1362">
        <f t="shared" si="1"/>
        <v>0</v>
      </c>
      <c r="I101" s="1361"/>
      <c r="J101" s="1362">
        <f t="shared" si="2"/>
        <v>0</v>
      </c>
      <c r="K101" s="1361"/>
      <c r="L101" s="1362">
        <f t="shared" si="3"/>
        <v>0</v>
      </c>
      <c r="M101" s="1361"/>
      <c r="N101" s="1362">
        <f t="shared" si="4"/>
        <v>0</v>
      </c>
      <c r="O101" s="1361"/>
      <c r="P101" s="1362">
        <f t="shared" si="5"/>
        <v>0</v>
      </c>
      <c r="Q101" s="1361"/>
      <c r="R101" s="1363">
        <f t="shared" si="6"/>
        <v>0</v>
      </c>
      <c r="S101" s="1361"/>
      <c r="T101" s="1362">
        <f t="shared" si="7"/>
        <v>0</v>
      </c>
      <c r="U101" s="1364"/>
      <c r="V101" s="1363">
        <f t="shared" si="8"/>
        <v>0</v>
      </c>
      <c r="W101" s="1361"/>
      <c r="X101" s="1362">
        <f t="shared" si="9"/>
        <v>0</v>
      </c>
      <c r="Y101" s="1364"/>
      <c r="Z101" s="1363">
        <f t="shared" si="10"/>
        <v>0</v>
      </c>
      <c r="AA101" s="1361"/>
      <c r="AB101" s="1362">
        <f t="shared" si="11"/>
        <v>0</v>
      </c>
      <c r="AC101" s="1365">
        <f>'[2]Ventes St Sever'!$AD$102</f>
        <v>14.1</v>
      </c>
      <c r="AD101" s="1391"/>
      <c r="AE101" s="662">
        <f t="shared" si="27"/>
        <v>6.9</v>
      </c>
      <c r="AF101" s="663">
        <f t="shared" si="25"/>
        <v>0</v>
      </c>
      <c r="AG101" s="664">
        <f t="shared" si="14"/>
        <v>0</v>
      </c>
      <c r="AH101" s="665">
        <f t="shared" si="28"/>
        <v>0</v>
      </c>
      <c r="AJ101" s="1357">
        <v>10</v>
      </c>
      <c r="AK101" s="1358"/>
    </row>
    <row r="102" spans="2:37" ht="20.25">
      <c r="B102" s="527"/>
      <c r="C102" s="460" t="s">
        <v>261</v>
      </c>
      <c r="D102" s="1360">
        <v>3.5</v>
      </c>
      <c r="E102" s="1361"/>
      <c r="F102" s="1362">
        <f t="shared" si="19"/>
        <v>0</v>
      </c>
      <c r="G102" s="1361"/>
      <c r="H102" s="1362">
        <f t="shared" si="1"/>
        <v>0</v>
      </c>
      <c r="I102" s="1361"/>
      <c r="J102" s="1362">
        <f t="shared" si="2"/>
        <v>0</v>
      </c>
      <c r="K102" s="1361"/>
      <c r="L102" s="1362">
        <f t="shared" si="3"/>
        <v>0</v>
      </c>
      <c r="M102" s="1361"/>
      <c r="N102" s="1362">
        <f t="shared" si="4"/>
        <v>0</v>
      </c>
      <c r="O102" s="1361"/>
      <c r="P102" s="1362">
        <f t="shared" si="5"/>
        <v>0</v>
      </c>
      <c r="Q102" s="1361"/>
      <c r="R102" s="1363">
        <f t="shared" si="6"/>
        <v>0</v>
      </c>
      <c r="S102" s="1361"/>
      <c r="T102" s="1362">
        <f t="shared" si="7"/>
        <v>0</v>
      </c>
      <c r="U102" s="1364"/>
      <c r="V102" s="1363">
        <f t="shared" si="8"/>
        <v>0</v>
      </c>
      <c r="W102" s="1361"/>
      <c r="X102" s="1362">
        <f t="shared" si="9"/>
        <v>0</v>
      </c>
      <c r="Y102" s="1364"/>
      <c r="Z102" s="1363">
        <f t="shared" si="10"/>
        <v>0</v>
      </c>
      <c r="AA102" s="1361"/>
      <c r="AB102" s="1362">
        <f t="shared" si="11"/>
        <v>0</v>
      </c>
      <c r="AC102" s="1365"/>
      <c r="AD102" s="1391"/>
      <c r="AE102" s="662"/>
      <c r="AF102" s="663"/>
      <c r="AG102" s="664">
        <f t="shared" si="14"/>
        <v>0</v>
      </c>
      <c r="AH102" s="665"/>
      <c r="AJ102" s="1357"/>
      <c r="AK102" s="1358"/>
    </row>
    <row r="103" spans="2:37" ht="20.25">
      <c r="B103" s="527"/>
      <c r="C103" s="460" t="s">
        <v>340</v>
      </c>
      <c r="D103" s="1360">
        <v>12.5</v>
      </c>
      <c r="E103" s="1361"/>
      <c r="F103" s="1362">
        <f t="shared" si="19"/>
        <v>0</v>
      </c>
      <c r="G103" s="1361"/>
      <c r="H103" s="1362">
        <f t="shared" si="1"/>
        <v>0</v>
      </c>
      <c r="I103" s="1361"/>
      <c r="J103" s="1362">
        <f t="shared" si="2"/>
        <v>0</v>
      </c>
      <c r="K103" s="1361"/>
      <c r="L103" s="1362">
        <f t="shared" si="3"/>
        <v>0</v>
      </c>
      <c r="M103" s="1361"/>
      <c r="N103" s="1362">
        <f t="shared" si="4"/>
        <v>0</v>
      </c>
      <c r="O103" s="1361"/>
      <c r="P103" s="1362">
        <f t="shared" si="5"/>
        <v>0</v>
      </c>
      <c r="Q103" s="1361"/>
      <c r="R103" s="1363">
        <f t="shared" si="6"/>
        <v>0</v>
      </c>
      <c r="S103" s="1361"/>
      <c r="T103" s="1362">
        <f t="shared" si="7"/>
        <v>0</v>
      </c>
      <c r="U103" s="1364"/>
      <c r="V103" s="1363">
        <f t="shared" si="8"/>
        <v>0</v>
      </c>
      <c r="W103" s="1361"/>
      <c r="X103" s="1362">
        <f t="shared" si="9"/>
        <v>0</v>
      </c>
      <c r="Y103" s="1364"/>
      <c r="Z103" s="1363">
        <f t="shared" si="10"/>
        <v>0</v>
      </c>
      <c r="AA103" s="1361"/>
      <c r="AB103" s="1362">
        <f t="shared" si="11"/>
        <v>0</v>
      </c>
      <c r="AC103" s="1365">
        <f>'[2]Ventes St Sever'!$AD$109</f>
        <v>8.33</v>
      </c>
      <c r="AD103" s="1391"/>
      <c r="AE103" s="662">
        <f aca="true" t="shared" si="29" ref="AE103:AE138">D103-AC103</f>
        <v>4.17</v>
      </c>
      <c r="AF103" s="663">
        <f aca="true" t="shared" si="30" ref="AF103:AF113">AE103*AH103</f>
        <v>0</v>
      </c>
      <c r="AG103" s="664">
        <f t="shared" si="14"/>
        <v>0</v>
      </c>
      <c r="AH103" s="665">
        <f aca="true" t="shared" si="31" ref="AH103:AH113">AA103+Y103+W103+U103+S103+Q103+O103+M103+K103+I103+G103+E103</f>
        <v>0</v>
      </c>
      <c r="AJ103" s="1357">
        <v>3</v>
      </c>
      <c r="AK103" s="1358"/>
    </row>
    <row r="104" spans="2:37" ht="20.25">
      <c r="B104" s="527"/>
      <c r="C104" s="460" t="s">
        <v>338</v>
      </c>
      <c r="D104" s="1360">
        <v>4.5</v>
      </c>
      <c r="E104" s="1361"/>
      <c r="F104" s="1362">
        <f t="shared" si="19"/>
        <v>0</v>
      </c>
      <c r="G104" s="1361"/>
      <c r="H104" s="1362">
        <f t="shared" si="1"/>
        <v>0</v>
      </c>
      <c r="I104" s="1361"/>
      <c r="J104" s="1362">
        <f t="shared" si="2"/>
        <v>0</v>
      </c>
      <c r="K104" s="1361"/>
      <c r="L104" s="1362">
        <f t="shared" si="3"/>
        <v>0</v>
      </c>
      <c r="M104" s="1361"/>
      <c r="N104" s="1362">
        <f t="shared" si="4"/>
        <v>0</v>
      </c>
      <c r="O104" s="1361"/>
      <c r="P104" s="1362">
        <f t="shared" si="5"/>
        <v>0</v>
      </c>
      <c r="Q104" s="1361"/>
      <c r="R104" s="1363">
        <f t="shared" si="6"/>
        <v>0</v>
      </c>
      <c r="S104" s="1361"/>
      <c r="T104" s="1362">
        <f t="shared" si="7"/>
        <v>0</v>
      </c>
      <c r="U104" s="1364"/>
      <c r="V104" s="1363">
        <f t="shared" si="8"/>
        <v>0</v>
      </c>
      <c r="W104" s="1361"/>
      <c r="X104" s="1362">
        <f t="shared" si="9"/>
        <v>0</v>
      </c>
      <c r="Y104" s="1364"/>
      <c r="Z104" s="1363">
        <f t="shared" si="10"/>
        <v>0</v>
      </c>
      <c r="AA104" s="1361"/>
      <c r="AB104" s="1362">
        <f t="shared" si="11"/>
        <v>0</v>
      </c>
      <c r="AC104" s="1365">
        <f>'[2]Ventes St Sever'!$AD$107</f>
        <v>2.67</v>
      </c>
      <c r="AD104" s="1391"/>
      <c r="AE104" s="662">
        <f t="shared" si="29"/>
        <v>1.83</v>
      </c>
      <c r="AF104" s="663">
        <f t="shared" si="30"/>
        <v>0</v>
      </c>
      <c r="AG104" s="664">
        <f t="shared" si="14"/>
        <v>0</v>
      </c>
      <c r="AH104" s="665">
        <f t="shared" si="31"/>
        <v>0</v>
      </c>
      <c r="AJ104" s="1357">
        <v>5</v>
      </c>
      <c r="AK104" s="1358"/>
    </row>
    <row r="105" spans="2:37" ht="20.25">
      <c r="B105" s="527"/>
      <c r="C105" s="460" t="s">
        <v>342</v>
      </c>
      <c r="D105" s="1360">
        <v>10</v>
      </c>
      <c r="E105" s="1361"/>
      <c r="F105" s="1362">
        <f t="shared" si="19"/>
        <v>0</v>
      </c>
      <c r="G105" s="1361"/>
      <c r="H105" s="1362">
        <f t="shared" si="1"/>
        <v>0</v>
      </c>
      <c r="I105" s="1361"/>
      <c r="J105" s="1362">
        <f t="shared" si="2"/>
        <v>0</v>
      </c>
      <c r="K105" s="1361"/>
      <c r="L105" s="1362">
        <f t="shared" si="3"/>
        <v>0</v>
      </c>
      <c r="M105" s="1361"/>
      <c r="N105" s="1362">
        <f t="shared" si="4"/>
        <v>0</v>
      </c>
      <c r="O105" s="1361"/>
      <c r="P105" s="1362">
        <f t="shared" si="5"/>
        <v>0</v>
      </c>
      <c r="Q105" s="1361"/>
      <c r="R105" s="1363">
        <f t="shared" si="6"/>
        <v>0</v>
      </c>
      <c r="S105" s="1361"/>
      <c r="T105" s="1362">
        <f t="shared" si="7"/>
        <v>0</v>
      </c>
      <c r="U105" s="1364"/>
      <c r="V105" s="1363">
        <f t="shared" si="8"/>
        <v>0</v>
      </c>
      <c r="W105" s="1361"/>
      <c r="X105" s="1362">
        <f t="shared" si="9"/>
        <v>0</v>
      </c>
      <c r="Y105" s="1364"/>
      <c r="Z105" s="1363">
        <f t="shared" si="10"/>
        <v>0</v>
      </c>
      <c r="AA105" s="1361"/>
      <c r="AB105" s="1362">
        <f t="shared" si="11"/>
        <v>0</v>
      </c>
      <c r="AC105" s="1365">
        <f>'[2]Ventes St Sever'!$AD$108</f>
        <v>5.85</v>
      </c>
      <c r="AD105" s="1391"/>
      <c r="AE105" s="662">
        <f t="shared" si="29"/>
        <v>4.15</v>
      </c>
      <c r="AF105" s="663">
        <f t="shared" si="30"/>
        <v>0</v>
      </c>
      <c r="AG105" s="664">
        <f t="shared" si="14"/>
        <v>0</v>
      </c>
      <c r="AH105" s="665">
        <f t="shared" si="31"/>
        <v>0</v>
      </c>
      <c r="AJ105" s="1357">
        <v>2</v>
      </c>
      <c r="AK105" s="1358"/>
    </row>
    <row r="106" spans="2:37" ht="21">
      <c r="B106" s="527"/>
      <c r="C106" s="529" t="s">
        <v>343</v>
      </c>
      <c r="D106" s="540">
        <v>21</v>
      </c>
      <c r="E106" s="1366"/>
      <c r="F106" s="1367">
        <f t="shared" si="19"/>
        <v>0</v>
      </c>
      <c r="G106" s="1366"/>
      <c r="H106" s="1367">
        <f t="shared" si="1"/>
        <v>0</v>
      </c>
      <c r="I106" s="1366"/>
      <c r="J106" s="1367">
        <f t="shared" si="2"/>
        <v>0</v>
      </c>
      <c r="K106" s="1366"/>
      <c r="L106" s="1367">
        <f t="shared" si="3"/>
        <v>0</v>
      </c>
      <c r="M106" s="1366"/>
      <c r="N106" s="1367">
        <f t="shared" si="4"/>
        <v>0</v>
      </c>
      <c r="O106" s="1366"/>
      <c r="P106" s="1367">
        <f t="shared" si="5"/>
        <v>0</v>
      </c>
      <c r="Q106" s="1366"/>
      <c r="R106" s="1368">
        <f t="shared" si="6"/>
        <v>0</v>
      </c>
      <c r="S106" s="1366"/>
      <c r="T106" s="1367">
        <f t="shared" si="7"/>
        <v>0</v>
      </c>
      <c r="U106" s="1369"/>
      <c r="V106" s="1368">
        <f t="shared" si="8"/>
        <v>0</v>
      </c>
      <c r="W106" s="1366"/>
      <c r="X106" s="1367">
        <f t="shared" si="9"/>
        <v>0</v>
      </c>
      <c r="Y106" s="1369"/>
      <c r="Z106" s="1368">
        <f t="shared" si="10"/>
        <v>0</v>
      </c>
      <c r="AA106" s="1366"/>
      <c r="AB106" s="1367">
        <f t="shared" si="11"/>
        <v>0</v>
      </c>
      <c r="AC106" s="1370">
        <f>'[2]Ventes St Sever'!$AD$111</f>
        <v>14.1</v>
      </c>
      <c r="AD106" s="1391"/>
      <c r="AE106" s="1080">
        <f t="shared" si="29"/>
        <v>6.9</v>
      </c>
      <c r="AF106" s="902">
        <f t="shared" si="30"/>
        <v>0</v>
      </c>
      <c r="AG106" s="914">
        <f t="shared" si="14"/>
        <v>0</v>
      </c>
      <c r="AH106" s="915">
        <f t="shared" si="31"/>
        <v>0</v>
      </c>
      <c r="AJ106" s="1357">
        <v>0</v>
      </c>
      <c r="AK106" s="1358">
        <v>2</v>
      </c>
    </row>
    <row r="107" spans="1:37" ht="32.25">
      <c r="A107" s="297"/>
      <c r="B107" s="1467" t="s">
        <v>882</v>
      </c>
      <c r="C107" s="1468" t="s">
        <v>380</v>
      </c>
      <c r="D107" s="1458">
        <v>15</v>
      </c>
      <c r="E107" s="1459"/>
      <c r="F107" s="1460">
        <f t="shared" si="19"/>
        <v>0</v>
      </c>
      <c r="G107" s="1459"/>
      <c r="H107" s="1460">
        <f t="shared" si="1"/>
        <v>0</v>
      </c>
      <c r="I107" s="1459"/>
      <c r="J107" s="1460">
        <f t="shared" si="2"/>
        <v>0</v>
      </c>
      <c r="K107" s="1459"/>
      <c r="L107" s="1460">
        <f t="shared" si="3"/>
        <v>0</v>
      </c>
      <c r="M107" s="1459"/>
      <c r="N107" s="1460">
        <f t="shared" si="4"/>
        <v>0</v>
      </c>
      <c r="O107" s="1459"/>
      <c r="P107" s="1460">
        <f t="shared" si="5"/>
        <v>0</v>
      </c>
      <c r="Q107" s="1459"/>
      <c r="R107" s="1461">
        <f t="shared" si="6"/>
        <v>0</v>
      </c>
      <c r="S107" s="1459"/>
      <c r="T107" s="1460">
        <f t="shared" si="7"/>
        <v>0</v>
      </c>
      <c r="U107" s="1462"/>
      <c r="V107" s="1461">
        <f t="shared" si="8"/>
        <v>0</v>
      </c>
      <c r="W107" s="1459"/>
      <c r="X107" s="1460">
        <f t="shared" si="9"/>
        <v>0</v>
      </c>
      <c r="Y107" s="1462"/>
      <c r="Z107" s="1461">
        <f t="shared" si="10"/>
        <v>0</v>
      </c>
      <c r="AA107" s="1459"/>
      <c r="AB107" s="1460">
        <f t="shared" si="11"/>
        <v>0</v>
      </c>
      <c r="AC107" s="1469"/>
      <c r="AD107" s="1470">
        <v>0.055</v>
      </c>
      <c r="AE107" s="743">
        <f t="shared" si="29"/>
        <v>15</v>
      </c>
      <c r="AF107" s="744">
        <f t="shared" si="30"/>
        <v>0</v>
      </c>
      <c r="AG107" s="816">
        <f t="shared" si="14"/>
        <v>0</v>
      </c>
      <c r="AH107" s="817">
        <f t="shared" si="31"/>
        <v>0</v>
      </c>
      <c r="AJ107" s="1357">
        <v>15</v>
      </c>
      <c r="AK107" s="1358"/>
    </row>
    <row r="108" spans="1:37" ht="21.75">
      <c r="A108" s="297"/>
      <c r="B108" s="1471" t="s">
        <v>178</v>
      </c>
      <c r="C108" s="1468" t="s">
        <v>381</v>
      </c>
      <c r="D108" s="1458">
        <v>20</v>
      </c>
      <c r="E108" s="1459"/>
      <c r="F108" s="1460">
        <f t="shared" si="19"/>
        <v>0</v>
      </c>
      <c r="G108" s="1459"/>
      <c r="H108" s="1460">
        <f t="shared" si="1"/>
        <v>0</v>
      </c>
      <c r="I108" s="1459"/>
      <c r="J108" s="1460">
        <f t="shared" si="2"/>
        <v>0</v>
      </c>
      <c r="K108" s="1459"/>
      <c r="L108" s="1460">
        <f t="shared" si="3"/>
        <v>0</v>
      </c>
      <c r="M108" s="1459"/>
      <c r="N108" s="1460">
        <f t="shared" si="4"/>
        <v>0</v>
      </c>
      <c r="O108" s="1459"/>
      <c r="P108" s="1460">
        <f t="shared" si="5"/>
        <v>0</v>
      </c>
      <c r="Q108" s="1459"/>
      <c r="R108" s="1461">
        <f t="shared" si="6"/>
        <v>0</v>
      </c>
      <c r="S108" s="1459"/>
      <c r="T108" s="1460">
        <f t="shared" si="7"/>
        <v>0</v>
      </c>
      <c r="U108" s="1462"/>
      <c r="V108" s="1461">
        <f t="shared" si="8"/>
        <v>0</v>
      </c>
      <c r="W108" s="1459"/>
      <c r="X108" s="1460">
        <f t="shared" si="9"/>
        <v>0</v>
      </c>
      <c r="Y108" s="1462"/>
      <c r="Z108" s="1461">
        <f t="shared" si="10"/>
        <v>0</v>
      </c>
      <c r="AA108" s="1459"/>
      <c r="AB108" s="1460">
        <f t="shared" si="11"/>
        <v>0</v>
      </c>
      <c r="AC108" s="1463"/>
      <c r="AD108" s="1470"/>
      <c r="AE108" s="1265">
        <f t="shared" si="29"/>
        <v>20</v>
      </c>
      <c r="AF108" s="1464">
        <f t="shared" si="30"/>
        <v>0</v>
      </c>
      <c r="AG108" s="1465">
        <f t="shared" si="14"/>
        <v>0</v>
      </c>
      <c r="AH108" s="1466">
        <f t="shared" si="31"/>
        <v>0</v>
      </c>
      <c r="AJ108" s="1357">
        <v>2</v>
      </c>
      <c r="AK108" s="1358"/>
    </row>
    <row r="109" spans="1:37" ht="21.75">
      <c r="A109" s="297"/>
      <c r="B109" s="1471" t="s">
        <v>883</v>
      </c>
      <c r="C109" s="1468" t="s">
        <v>382</v>
      </c>
      <c r="D109" s="1458">
        <v>12</v>
      </c>
      <c r="E109" s="1459"/>
      <c r="F109" s="1460">
        <f t="shared" si="19"/>
        <v>0</v>
      </c>
      <c r="G109" s="1459"/>
      <c r="H109" s="1460">
        <f t="shared" si="1"/>
        <v>0</v>
      </c>
      <c r="I109" s="1459"/>
      <c r="J109" s="1460">
        <f t="shared" si="2"/>
        <v>0</v>
      </c>
      <c r="K109" s="1459"/>
      <c r="L109" s="1460">
        <f t="shared" si="3"/>
        <v>0</v>
      </c>
      <c r="M109" s="1459"/>
      <c r="N109" s="1460">
        <f t="shared" si="4"/>
        <v>0</v>
      </c>
      <c r="O109" s="1459"/>
      <c r="P109" s="1460">
        <f t="shared" si="5"/>
        <v>0</v>
      </c>
      <c r="Q109" s="1459"/>
      <c r="R109" s="1461">
        <f t="shared" si="6"/>
        <v>0</v>
      </c>
      <c r="S109" s="1459"/>
      <c r="T109" s="1460">
        <f t="shared" si="7"/>
        <v>0</v>
      </c>
      <c r="U109" s="1462"/>
      <c r="V109" s="1461">
        <f t="shared" si="8"/>
        <v>0</v>
      </c>
      <c r="W109" s="1459"/>
      <c r="X109" s="1460">
        <f t="shared" si="9"/>
        <v>0</v>
      </c>
      <c r="Y109" s="1462"/>
      <c r="Z109" s="1461">
        <f t="shared" si="10"/>
        <v>0</v>
      </c>
      <c r="AA109" s="1459"/>
      <c r="AB109" s="1460">
        <f t="shared" si="11"/>
        <v>0</v>
      </c>
      <c r="AC109" s="1463"/>
      <c r="AD109" s="1470"/>
      <c r="AE109" s="1265">
        <f t="shared" si="29"/>
        <v>12</v>
      </c>
      <c r="AF109" s="1464">
        <f t="shared" si="30"/>
        <v>0</v>
      </c>
      <c r="AG109" s="1465">
        <f t="shared" si="14"/>
        <v>0</v>
      </c>
      <c r="AH109" s="1466">
        <f t="shared" si="31"/>
        <v>0</v>
      </c>
      <c r="AJ109" s="1357">
        <v>2</v>
      </c>
      <c r="AK109" s="1358"/>
    </row>
    <row r="110" spans="2:37" ht="21.75">
      <c r="B110" s="1434" t="s">
        <v>372</v>
      </c>
      <c r="C110" s="1468" t="s">
        <v>373</v>
      </c>
      <c r="D110" s="1458">
        <v>5.9</v>
      </c>
      <c r="E110" s="1459"/>
      <c r="F110" s="1460">
        <f t="shared" si="19"/>
        <v>0</v>
      </c>
      <c r="G110" s="1459"/>
      <c r="H110" s="1460">
        <f t="shared" si="1"/>
        <v>0</v>
      </c>
      <c r="I110" s="1459"/>
      <c r="J110" s="1460">
        <f t="shared" si="2"/>
        <v>0</v>
      </c>
      <c r="K110" s="1459"/>
      <c r="L110" s="1460">
        <f t="shared" si="3"/>
        <v>0</v>
      </c>
      <c r="M110" s="1459"/>
      <c r="N110" s="1460">
        <f t="shared" si="4"/>
        <v>0</v>
      </c>
      <c r="O110" s="1459"/>
      <c r="P110" s="1460">
        <f t="shared" si="5"/>
        <v>0</v>
      </c>
      <c r="Q110" s="1459"/>
      <c r="R110" s="1461">
        <f t="shared" si="6"/>
        <v>0</v>
      </c>
      <c r="S110" s="1459"/>
      <c r="T110" s="1460">
        <f t="shared" si="7"/>
        <v>0</v>
      </c>
      <c r="U110" s="1462"/>
      <c r="V110" s="1461">
        <f t="shared" si="8"/>
        <v>0</v>
      </c>
      <c r="W110" s="1459"/>
      <c r="X110" s="1460">
        <f t="shared" si="9"/>
        <v>0</v>
      </c>
      <c r="Y110" s="1462"/>
      <c r="Z110" s="1461">
        <f t="shared" si="10"/>
        <v>0</v>
      </c>
      <c r="AA110" s="1459"/>
      <c r="AB110" s="1460">
        <f t="shared" si="11"/>
        <v>0</v>
      </c>
      <c r="AC110" s="1463"/>
      <c r="AD110" s="1470"/>
      <c r="AE110" s="1265">
        <f t="shared" si="29"/>
        <v>5.9</v>
      </c>
      <c r="AF110" s="1464">
        <f t="shared" si="30"/>
        <v>0</v>
      </c>
      <c r="AG110" s="1465">
        <f t="shared" si="14"/>
        <v>0</v>
      </c>
      <c r="AH110" s="1466">
        <f t="shared" si="31"/>
        <v>0</v>
      </c>
      <c r="AJ110" s="1357">
        <v>23</v>
      </c>
      <c r="AK110" s="1358"/>
    </row>
    <row r="111" spans="2:37" ht="21.75">
      <c r="B111" s="1434"/>
      <c r="C111" s="1468" t="s">
        <v>884</v>
      </c>
      <c r="D111" s="1458">
        <v>20</v>
      </c>
      <c r="E111" s="1459"/>
      <c r="F111" s="1460">
        <f t="shared" si="19"/>
        <v>0</v>
      </c>
      <c r="G111" s="1459"/>
      <c r="H111" s="1460">
        <f t="shared" si="1"/>
        <v>0</v>
      </c>
      <c r="I111" s="1459"/>
      <c r="J111" s="1460">
        <f t="shared" si="2"/>
        <v>0</v>
      </c>
      <c r="K111" s="1459"/>
      <c r="L111" s="1460">
        <f t="shared" si="3"/>
        <v>0</v>
      </c>
      <c r="M111" s="1459"/>
      <c r="N111" s="1460">
        <f t="shared" si="4"/>
        <v>0</v>
      </c>
      <c r="O111" s="1459"/>
      <c r="P111" s="1460">
        <f t="shared" si="5"/>
        <v>0</v>
      </c>
      <c r="Q111" s="1459"/>
      <c r="R111" s="1461">
        <f t="shared" si="6"/>
        <v>0</v>
      </c>
      <c r="S111" s="1459"/>
      <c r="T111" s="1460">
        <f t="shared" si="7"/>
        <v>0</v>
      </c>
      <c r="U111" s="1462"/>
      <c r="V111" s="1461">
        <f t="shared" si="8"/>
        <v>0</v>
      </c>
      <c r="W111" s="1459"/>
      <c r="X111" s="1460">
        <f t="shared" si="9"/>
        <v>0</v>
      </c>
      <c r="Y111" s="1462"/>
      <c r="Z111" s="1461">
        <f t="shared" si="10"/>
        <v>0</v>
      </c>
      <c r="AA111" s="1459"/>
      <c r="AB111" s="1460">
        <f t="shared" si="11"/>
        <v>0</v>
      </c>
      <c r="AC111" s="1463"/>
      <c r="AD111" s="1470"/>
      <c r="AE111" s="1265">
        <f t="shared" si="29"/>
        <v>20</v>
      </c>
      <c r="AF111" s="1464">
        <f t="shared" si="30"/>
        <v>0</v>
      </c>
      <c r="AG111" s="1465">
        <f t="shared" si="14"/>
        <v>0</v>
      </c>
      <c r="AH111" s="1466">
        <f t="shared" si="31"/>
        <v>0</v>
      </c>
      <c r="AJ111" s="1357">
        <v>3</v>
      </c>
      <c r="AK111" s="1358"/>
    </row>
    <row r="112" spans="2:37" ht="30">
      <c r="B112" s="1452" t="s">
        <v>885</v>
      </c>
      <c r="C112" s="1457" t="s">
        <v>886</v>
      </c>
      <c r="D112" s="1458">
        <v>2.5</v>
      </c>
      <c r="E112" s="1459"/>
      <c r="F112" s="1460">
        <f t="shared" si="19"/>
        <v>0</v>
      </c>
      <c r="G112" s="1459"/>
      <c r="H112" s="1460">
        <f t="shared" si="1"/>
        <v>0</v>
      </c>
      <c r="I112" s="1459"/>
      <c r="J112" s="1460">
        <f t="shared" si="2"/>
        <v>0</v>
      </c>
      <c r="K112" s="1459">
        <v>1</v>
      </c>
      <c r="L112" s="1460">
        <f t="shared" si="3"/>
        <v>2.5</v>
      </c>
      <c r="M112" s="1459"/>
      <c r="N112" s="1460">
        <f t="shared" si="4"/>
        <v>0</v>
      </c>
      <c r="O112" s="1459"/>
      <c r="P112" s="1460">
        <f t="shared" si="5"/>
        <v>0</v>
      </c>
      <c r="Q112" s="1459"/>
      <c r="R112" s="1461">
        <f t="shared" si="6"/>
        <v>0</v>
      </c>
      <c r="S112" s="1459"/>
      <c r="T112" s="1460">
        <f t="shared" si="7"/>
        <v>0</v>
      </c>
      <c r="U112" s="1462"/>
      <c r="V112" s="1461">
        <f t="shared" si="8"/>
        <v>0</v>
      </c>
      <c r="W112" s="1459"/>
      <c r="X112" s="1460">
        <f t="shared" si="9"/>
        <v>0</v>
      </c>
      <c r="Y112" s="1462"/>
      <c r="Z112" s="1461">
        <f t="shared" si="10"/>
        <v>0</v>
      </c>
      <c r="AA112" s="1459"/>
      <c r="AB112" s="1460">
        <f t="shared" si="11"/>
        <v>0</v>
      </c>
      <c r="AC112" s="1472"/>
      <c r="AD112" s="1473"/>
      <c r="AE112" s="1474">
        <f t="shared" si="29"/>
        <v>2.5</v>
      </c>
      <c r="AF112" s="899">
        <f t="shared" si="30"/>
        <v>2.5</v>
      </c>
      <c r="AG112" s="1475">
        <f t="shared" si="14"/>
        <v>2.5</v>
      </c>
      <c r="AH112" s="1476">
        <f t="shared" si="31"/>
        <v>1</v>
      </c>
      <c r="AJ112" s="1357">
        <v>38</v>
      </c>
      <c r="AK112" s="1358"/>
    </row>
    <row r="113" spans="2:37" ht="21">
      <c r="B113" s="1435" t="s">
        <v>887</v>
      </c>
      <c r="C113" s="1223" t="s">
        <v>402</v>
      </c>
      <c r="D113" s="1371">
        <v>11.9</v>
      </c>
      <c r="E113" s="1349"/>
      <c r="F113" s="1350">
        <f t="shared" si="19"/>
        <v>0</v>
      </c>
      <c r="G113" s="1349"/>
      <c r="H113" s="1350">
        <f t="shared" si="1"/>
        <v>0</v>
      </c>
      <c r="I113" s="1349"/>
      <c r="J113" s="1350">
        <f t="shared" si="2"/>
        <v>0</v>
      </c>
      <c r="K113" s="1349"/>
      <c r="L113" s="1350">
        <f t="shared" si="3"/>
        <v>0</v>
      </c>
      <c r="M113" s="1349"/>
      <c r="N113" s="1350">
        <f t="shared" si="4"/>
        <v>0</v>
      </c>
      <c r="O113" s="1349"/>
      <c r="P113" s="1350">
        <f t="shared" si="5"/>
        <v>0</v>
      </c>
      <c r="Q113" s="1349"/>
      <c r="R113" s="1351">
        <f t="shared" si="6"/>
        <v>0</v>
      </c>
      <c r="S113" s="1349"/>
      <c r="T113" s="1350">
        <f t="shared" si="7"/>
        <v>0</v>
      </c>
      <c r="U113" s="1352"/>
      <c r="V113" s="1351">
        <f t="shared" si="8"/>
        <v>0</v>
      </c>
      <c r="W113" s="1349"/>
      <c r="X113" s="1350">
        <f t="shared" si="9"/>
        <v>0</v>
      </c>
      <c r="Y113" s="1352"/>
      <c r="Z113" s="1351">
        <f t="shared" si="10"/>
        <v>0</v>
      </c>
      <c r="AA113" s="1349"/>
      <c r="AB113" s="1350">
        <f t="shared" si="11"/>
        <v>0</v>
      </c>
      <c r="AC113" s="1353"/>
      <c r="AD113" s="1473"/>
      <c r="AE113" s="1206">
        <f t="shared" si="29"/>
        <v>11.9</v>
      </c>
      <c r="AF113" s="1355">
        <f t="shared" si="30"/>
        <v>0</v>
      </c>
      <c r="AG113" s="1356">
        <f t="shared" si="14"/>
        <v>0</v>
      </c>
      <c r="AH113" s="804">
        <f t="shared" si="31"/>
        <v>0</v>
      </c>
      <c r="AJ113" s="1357">
        <v>2</v>
      </c>
      <c r="AK113" s="1358"/>
    </row>
    <row r="114" spans="2:37" ht="20.25">
      <c r="B114" s="1435"/>
      <c r="C114" s="525" t="s">
        <v>888</v>
      </c>
      <c r="D114" s="1360">
        <v>22.5</v>
      </c>
      <c r="E114" s="1361"/>
      <c r="F114" s="1362">
        <f t="shared" si="19"/>
        <v>0</v>
      </c>
      <c r="G114" s="1361"/>
      <c r="H114" s="1362">
        <f t="shared" si="1"/>
        <v>0</v>
      </c>
      <c r="I114" s="1361"/>
      <c r="J114" s="1362">
        <f t="shared" si="2"/>
        <v>0</v>
      </c>
      <c r="K114" s="1361"/>
      <c r="L114" s="1362">
        <f t="shared" si="3"/>
        <v>0</v>
      </c>
      <c r="M114" s="1361"/>
      <c r="N114" s="1362">
        <f t="shared" si="4"/>
        <v>0</v>
      </c>
      <c r="O114" s="1361"/>
      <c r="P114" s="1362">
        <f t="shared" si="5"/>
        <v>0</v>
      </c>
      <c r="Q114" s="1361"/>
      <c r="R114" s="1363">
        <f t="shared" si="6"/>
        <v>0</v>
      </c>
      <c r="S114" s="1361"/>
      <c r="T114" s="1362">
        <f t="shared" si="7"/>
        <v>0</v>
      </c>
      <c r="U114" s="1364"/>
      <c r="V114" s="1363">
        <f t="shared" si="8"/>
        <v>0</v>
      </c>
      <c r="W114" s="1361"/>
      <c r="X114" s="1362">
        <f t="shared" si="9"/>
        <v>0</v>
      </c>
      <c r="Y114" s="1364"/>
      <c r="Z114" s="1363">
        <f t="shared" si="10"/>
        <v>0</v>
      </c>
      <c r="AA114" s="1361"/>
      <c r="AB114" s="1362">
        <f t="shared" si="11"/>
        <v>0</v>
      </c>
      <c r="AC114" s="1365"/>
      <c r="AD114" s="1473"/>
      <c r="AE114" s="662">
        <f t="shared" si="29"/>
        <v>22.5</v>
      </c>
      <c r="AF114" s="663"/>
      <c r="AG114" s="664">
        <f t="shared" si="14"/>
        <v>0</v>
      </c>
      <c r="AH114" s="665"/>
      <c r="AJ114" s="1357"/>
      <c r="AK114" s="1358"/>
    </row>
    <row r="115" spans="2:37" ht="20.25">
      <c r="B115" s="1435"/>
      <c r="C115" s="525" t="s">
        <v>414</v>
      </c>
      <c r="D115" s="1360">
        <v>14.4</v>
      </c>
      <c r="E115" s="1361"/>
      <c r="F115" s="1362">
        <f t="shared" si="19"/>
        <v>0</v>
      </c>
      <c r="G115" s="1361"/>
      <c r="H115" s="1362">
        <f t="shared" si="1"/>
        <v>0</v>
      </c>
      <c r="I115" s="1361"/>
      <c r="J115" s="1362">
        <f t="shared" si="2"/>
        <v>0</v>
      </c>
      <c r="K115" s="1361"/>
      <c r="L115" s="1362">
        <f t="shared" si="3"/>
        <v>0</v>
      </c>
      <c r="M115" s="1361"/>
      <c r="N115" s="1362">
        <f t="shared" si="4"/>
        <v>0</v>
      </c>
      <c r="O115" s="1361"/>
      <c r="P115" s="1362">
        <f t="shared" si="5"/>
        <v>0</v>
      </c>
      <c r="Q115" s="1361"/>
      <c r="R115" s="1363">
        <f t="shared" si="6"/>
        <v>0</v>
      </c>
      <c r="S115" s="1361"/>
      <c r="T115" s="1362">
        <f t="shared" si="7"/>
        <v>0</v>
      </c>
      <c r="U115" s="1364"/>
      <c r="V115" s="1363">
        <f t="shared" si="8"/>
        <v>0</v>
      </c>
      <c r="W115" s="1361"/>
      <c r="X115" s="1362">
        <f t="shared" si="9"/>
        <v>0</v>
      </c>
      <c r="Y115" s="1364"/>
      <c r="Z115" s="1363">
        <f t="shared" si="10"/>
        <v>0</v>
      </c>
      <c r="AA115" s="1361"/>
      <c r="AB115" s="1362">
        <f t="shared" si="11"/>
        <v>0</v>
      </c>
      <c r="AC115" s="1365"/>
      <c r="AD115" s="1473"/>
      <c r="AE115" s="662">
        <f t="shared" si="29"/>
        <v>14.4</v>
      </c>
      <c r="AF115" s="663">
        <f aca="true" t="shared" si="32" ref="AF115:AF116">AE115*AH115</f>
        <v>0</v>
      </c>
      <c r="AG115" s="664">
        <f t="shared" si="14"/>
        <v>0</v>
      </c>
      <c r="AH115" s="665">
        <f aca="true" t="shared" si="33" ref="AH115:AH116">AA115+Y115+W115+U115+S115+Q115+O115+M115+K115+I115+G115+E115</f>
        <v>0</v>
      </c>
      <c r="AJ115" s="1357">
        <v>1</v>
      </c>
      <c r="AK115" s="1358"/>
    </row>
    <row r="116" spans="2:37" ht="20.25">
      <c r="B116" s="1435"/>
      <c r="C116" s="525" t="s">
        <v>415</v>
      </c>
      <c r="D116" s="1360">
        <v>38</v>
      </c>
      <c r="E116" s="1361"/>
      <c r="F116" s="1362">
        <f t="shared" si="19"/>
        <v>0</v>
      </c>
      <c r="G116" s="1361"/>
      <c r="H116" s="1362">
        <f t="shared" si="1"/>
        <v>0</v>
      </c>
      <c r="I116" s="1361"/>
      <c r="J116" s="1362">
        <f t="shared" si="2"/>
        <v>0</v>
      </c>
      <c r="K116" s="1361"/>
      <c r="L116" s="1362">
        <f t="shared" si="3"/>
        <v>0</v>
      </c>
      <c r="M116" s="1361"/>
      <c r="N116" s="1362">
        <f t="shared" si="4"/>
        <v>0</v>
      </c>
      <c r="O116" s="1361"/>
      <c r="P116" s="1362">
        <f t="shared" si="5"/>
        <v>0</v>
      </c>
      <c r="Q116" s="1361"/>
      <c r="R116" s="1363">
        <f t="shared" si="6"/>
        <v>0</v>
      </c>
      <c r="S116" s="1361"/>
      <c r="T116" s="1362">
        <f t="shared" si="7"/>
        <v>0</v>
      </c>
      <c r="U116" s="1364"/>
      <c r="V116" s="1363">
        <f t="shared" si="8"/>
        <v>0</v>
      </c>
      <c r="W116" s="1361"/>
      <c r="X116" s="1362">
        <f t="shared" si="9"/>
        <v>0</v>
      </c>
      <c r="Y116" s="1364"/>
      <c r="Z116" s="1363">
        <f t="shared" si="10"/>
        <v>0</v>
      </c>
      <c r="AA116" s="1361"/>
      <c r="AB116" s="1362">
        <f t="shared" si="11"/>
        <v>0</v>
      </c>
      <c r="AC116" s="1365"/>
      <c r="AD116" s="1473"/>
      <c r="AE116" s="662">
        <f t="shared" si="29"/>
        <v>38</v>
      </c>
      <c r="AF116" s="663">
        <f t="shared" si="32"/>
        <v>0</v>
      </c>
      <c r="AG116" s="664">
        <f t="shared" si="14"/>
        <v>0</v>
      </c>
      <c r="AH116" s="665">
        <f t="shared" si="33"/>
        <v>0</v>
      </c>
      <c r="AJ116" s="1357">
        <v>1</v>
      </c>
      <c r="AK116" s="1358"/>
    </row>
    <row r="117" spans="2:37" ht="21">
      <c r="B117" s="1435"/>
      <c r="C117" s="526" t="s">
        <v>416</v>
      </c>
      <c r="D117" s="1380">
        <v>23.4</v>
      </c>
      <c r="E117" s="1388"/>
      <c r="F117" s="1387">
        <f t="shared" si="19"/>
        <v>0</v>
      </c>
      <c r="G117" s="1388"/>
      <c r="H117" s="1387">
        <f t="shared" si="1"/>
        <v>0</v>
      </c>
      <c r="I117" s="1388"/>
      <c r="J117" s="1387">
        <f t="shared" si="2"/>
        <v>0</v>
      </c>
      <c r="K117" s="1388"/>
      <c r="L117" s="1387">
        <f t="shared" si="3"/>
        <v>0</v>
      </c>
      <c r="M117" s="1388"/>
      <c r="N117" s="1387">
        <f t="shared" si="4"/>
        <v>0</v>
      </c>
      <c r="O117" s="1388"/>
      <c r="P117" s="1387">
        <f t="shared" si="5"/>
        <v>0</v>
      </c>
      <c r="Q117" s="1388"/>
      <c r="R117" s="1389">
        <f t="shared" si="6"/>
        <v>0</v>
      </c>
      <c r="S117" s="1388"/>
      <c r="T117" s="1387">
        <f t="shared" si="7"/>
        <v>0</v>
      </c>
      <c r="U117" s="1390"/>
      <c r="V117" s="1389">
        <f t="shared" si="8"/>
        <v>0</v>
      </c>
      <c r="W117" s="1388"/>
      <c r="X117" s="1387">
        <f t="shared" si="9"/>
        <v>0</v>
      </c>
      <c r="Y117" s="1390"/>
      <c r="Z117" s="1389">
        <f t="shared" si="10"/>
        <v>0</v>
      </c>
      <c r="AA117" s="1388"/>
      <c r="AB117" s="1387">
        <f t="shared" si="11"/>
        <v>0</v>
      </c>
      <c r="AC117" s="1455"/>
      <c r="AD117" s="1473"/>
      <c r="AE117" s="686">
        <f t="shared" si="29"/>
        <v>23.4</v>
      </c>
      <c r="AF117" s="687"/>
      <c r="AG117" s="688">
        <f t="shared" si="14"/>
        <v>0</v>
      </c>
      <c r="AH117" s="689"/>
      <c r="AJ117" s="1357">
        <v>5</v>
      </c>
      <c r="AK117" s="1358"/>
    </row>
    <row r="118" spans="2:37" ht="29.25" customHeight="1">
      <c r="B118" s="527" t="s">
        <v>419</v>
      </c>
      <c r="C118" s="528" t="s">
        <v>420</v>
      </c>
      <c r="D118" s="1371">
        <v>9.9</v>
      </c>
      <c r="E118" s="1349"/>
      <c r="F118" s="1350">
        <f t="shared" si="19"/>
        <v>0</v>
      </c>
      <c r="G118" s="1349"/>
      <c r="H118" s="1350">
        <f t="shared" si="1"/>
        <v>0</v>
      </c>
      <c r="I118" s="1349"/>
      <c r="J118" s="1350">
        <f t="shared" si="2"/>
        <v>0</v>
      </c>
      <c r="K118" s="1349"/>
      <c r="L118" s="1350">
        <f t="shared" si="3"/>
        <v>0</v>
      </c>
      <c r="M118" s="1349"/>
      <c r="N118" s="1350">
        <f t="shared" si="4"/>
        <v>0</v>
      </c>
      <c r="O118" s="1349"/>
      <c r="P118" s="1350">
        <f t="shared" si="5"/>
        <v>0</v>
      </c>
      <c r="Q118" s="1349"/>
      <c r="R118" s="1351">
        <f t="shared" si="6"/>
        <v>0</v>
      </c>
      <c r="S118" s="1349"/>
      <c r="T118" s="1350">
        <f t="shared" si="7"/>
        <v>0</v>
      </c>
      <c r="U118" s="1352"/>
      <c r="V118" s="1351">
        <f t="shared" si="8"/>
        <v>0</v>
      </c>
      <c r="W118" s="1349"/>
      <c r="X118" s="1350">
        <f t="shared" si="9"/>
        <v>0</v>
      </c>
      <c r="Y118" s="1352"/>
      <c r="Z118" s="1351">
        <f t="shared" si="10"/>
        <v>0</v>
      </c>
      <c r="AA118" s="1349"/>
      <c r="AB118" s="1350">
        <f t="shared" si="11"/>
        <v>0</v>
      </c>
      <c r="AC118" s="1353"/>
      <c r="AD118" s="1473"/>
      <c r="AE118" s="1206">
        <f t="shared" si="29"/>
        <v>9.9</v>
      </c>
      <c r="AF118" s="1355">
        <f aca="true" t="shared" si="34" ref="AF118:AF137">AE118*AH118</f>
        <v>0</v>
      </c>
      <c r="AG118" s="1356">
        <f t="shared" si="14"/>
        <v>0</v>
      </c>
      <c r="AH118" s="804">
        <f aca="true" t="shared" si="35" ref="AH118:AH138">AA118+Y118+W118+U118+S118+Q118+O118+M118+K118+I118+G118+E118</f>
        <v>0</v>
      </c>
      <c r="AJ118" s="1357">
        <v>1</v>
      </c>
      <c r="AK118" s="1358"/>
    </row>
    <row r="119" spans="2:37" ht="43.5">
      <c r="B119" s="527"/>
      <c r="C119" s="529" t="s">
        <v>421</v>
      </c>
      <c r="D119" s="540">
        <v>18</v>
      </c>
      <c r="E119" s="1366"/>
      <c r="F119" s="1367">
        <f t="shared" si="19"/>
        <v>0</v>
      </c>
      <c r="G119" s="1366"/>
      <c r="H119" s="1367">
        <f t="shared" si="1"/>
        <v>0</v>
      </c>
      <c r="I119" s="1366"/>
      <c r="J119" s="1367">
        <f t="shared" si="2"/>
        <v>0</v>
      </c>
      <c r="K119" s="1366"/>
      <c r="L119" s="1367">
        <f t="shared" si="3"/>
        <v>0</v>
      </c>
      <c r="M119" s="1366">
        <v>1</v>
      </c>
      <c r="N119" s="1367">
        <f t="shared" si="4"/>
        <v>18</v>
      </c>
      <c r="O119" s="1366"/>
      <c r="P119" s="1367">
        <f t="shared" si="5"/>
        <v>0</v>
      </c>
      <c r="Q119" s="1366"/>
      <c r="R119" s="1368">
        <f t="shared" si="6"/>
        <v>0</v>
      </c>
      <c r="S119" s="1366"/>
      <c r="T119" s="1367">
        <f t="shared" si="7"/>
        <v>0</v>
      </c>
      <c r="U119" s="1369"/>
      <c r="V119" s="1368">
        <f t="shared" si="8"/>
        <v>0</v>
      </c>
      <c r="W119" s="1366"/>
      <c r="X119" s="1367">
        <f t="shared" si="9"/>
        <v>0</v>
      </c>
      <c r="Y119" s="1369"/>
      <c r="Z119" s="1368">
        <f t="shared" si="10"/>
        <v>0</v>
      </c>
      <c r="AA119" s="1366"/>
      <c r="AB119" s="1367">
        <f t="shared" si="11"/>
        <v>0</v>
      </c>
      <c r="AC119" s="1370"/>
      <c r="AD119" s="1473"/>
      <c r="AE119" s="1080">
        <f t="shared" si="29"/>
        <v>18</v>
      </c>
      <c r="AF119" s="902">
        <f t="shared" si="34"/>
        <v>18</v>
      </c>
      <c r="AG119" s="914">
        <f t="shared" si="14"/>
        <v>18</v>
      </c>
      <c r="AH119" s="915">
        <f t="shared" si="35"/>
        <v>1</v>
      </c>
      <c r="AJ119" s="1357">
        <v>3</v>
      </c>
      <c r="AK119" s="1358"/>
    </row>
    <row r="120" spans="2:37" ht="21.75">
      <c r="B120" s="1477" t="s">
        <v>427</v>
      </c>
      <c r="C120" s="1478" t="s">
        <v>428</v>
      </c>
      <c r="D120" s="1458">
        <v>0.5</v>
      </c>
      <c r="E120" s="1459"/>
      <c r="F120" s="1460">
        <f t="shared" si="19"/>
        <v>0</v>
      </c>
      <c r="G120" s="1459"/>
      <c r="H120" s="1460">
        <f t="shared" si="1"/>
        <v>0</v>
      </c>
      <c r="I120" s="1459"/>
      <c r="J120" s="1460">
        <f t="shared" si="2"/>
        <v>0</v>
      </c>
      <c r="K120" s="1459"/>
      <c r="L120" s="1460">
        <f t="shared" si="3"/>
        <v>0</v>
      </c>
      <c r="M120" s="1459"/>
      <c r="N120" s="1460">
        <f t="shared" si="4"/>
        <v>0</v>
      </c>
      <c r="O120" s="1459"/>
      <c r="P120" s="1460">
        <f t="shared" si="5"/>
        <v>0</v>
      </c>
      <c r="Q120" s="1459"/>
      <c r="R120" s="1461">
        <f t="shared" si="6"/>
        <v>0</v>
      </c>
      <c r="S120" s="1459"/>
      <c r="T120" s="1460">
        <f t="shared" si="7"/>
        <v>0</v>
      </c>
      <c r="U120" s="1462"/>
      <c r="V120" s="1461">
        <f t="shared" si="8"/>
        <v>0</v>
      </c>
      <c r="W120" s="1459"/>
      <c r="X120" s="1460">
        <f t="shared" si="9"/>
        <v>0</v>
      </c>
      <c r="Y120" s="1462"/>
      <c r="Z120" s="1461">
        <f t="shared" si="10"/>
        <v>0</v>
      </c>
      <c r="AA120" s="1459"/>
      <c r="AB120" s="1460">
        <f t="shared" si="11"/>
        <v>0</v>
      </c>
      <c r="AC120" s="1463"/>
      <c r="AD120" s="1470">
        <v>0.055</v>
      </c>
      <c r="AE120" s="1265">
        <f t="shared" si="29"/>
        <v>0.5</v>
      </c>
      <c r="AF120" s="1464">
        <f t="shared" si="34"/>
        <v>0</v>
      </c>
      <c r="AG120" s="1465">
        <f t="shared" si="14"/>
        <v>0</v>
      </c>
      <c r="AH120" s="1466">
        <f t="shared" si="35"/>
        <v>0</v>
      </c>
      <c r="AJ120" s="1357">
        <v>440</v>
      </c>
      <c r="AK120" s="1358"/>
    </row>
    <row r="121" spans="2:37" ht="21.75">
      <c r="B121" s="1477" t="s">
        <v>889</v>
      </c>
      <c r="C121" s="1457" t="s">
        <v>890</v>
      </c>
      <c r="D121" s="1458">
        <v>1</v>
      </c>
      <c r="E121" s="1459"/>
      <c r="F121" s="1460">
        <f t="shared" si="19"/>
        <v>0</v>
      </c>
      <c r="G121" s="1459"/>
      <c r="H121" s="1460">
        <f t="shared" si="1"/>
        <v>0</v>
      </c>
      <c r="I121" s="1459"/>
      <c r="J121" s="1460">
        <f t="shared" si="2"/>
        <v>0</v>
      </c>
      <c r="K121" s="1459"/>
      <c r="L121" s="1460">
        <f t="shared" si="3"/>
        <v>0</v>
      </c>
      <c r="M121" s="1459"/>
      <c r="N121" s="1460">
        <f t="shared" si="4"/>
        <v>0</v>
      </c>
      <c r="O121" s="1459"/>
      <c r="P121" s="1460">
        <f t="shared" si="5"/>
        <v>0</v>
      </c>
      <c r="Q121" s="1459"/>
      <c r="R121" s="1461">
        <f t="shared" si="6"/>
        <v>0</v>
      </c>
      <c r="S121" s="1459"/>
      <c r="T121" s="1460">
        <f t="shared" si="7"/>
        <v>0</v>
      </c>
      <c r="U121" s="1462"/>
      <c r="V121" s="1461">
        <f t="shared" si="8"/>
        <v>0</v>
      </c>
      <c r="W121" s="1459"/>
      <c r="X121" s="1460">
        <f t="shared" si="9"/>
        <v>0</v>
      </c>
      <c r="Y121" s="1462"/>
      <c r="Z121" s="1461">
        <f t="shared" si="10"/>
        <v>0</v>
      </c>
      <c r="AA121" s="1459"/>
      <c r="AB121" s="1460">
        <f t="shared" si="11"/>
        <v>0</v>
      </c>
      <c r="AC121" s="1463"/>
      <c r="AD121" s="1470"/>
      <c r="AE121" s="1265">
        <f t="shared" si="29"/>
        <v>1</v>
      </c>
      <c r="AF121" s="1464">
        <f t="shared" si="34"/>
        <v>0</v>
      </c>
      <c r="AG121" s="1465">
        <f t="shared" si="14"/>
        <v>0</v>
      </c>
      <c r="AH121" s="1466">
        <f t="shared" si="35"/>
        <v>0</v>
      </c>
      <c r="AJ121" s="1357">
        <v>12</v>
      </c>
      <c r="AK121" s="1358"/>
    </row>
    <row r="122" spans="2:37" ht="21.75">
      <c r="B122" s="1477" t="s">
        <v>891</v>
      </c>
      <c r="C122" s="1457" t="s">
        <v>892</v>
      </c>
      <c r="D122" s="1458">
        <v>1</v>
      </c>
      <c r="E122" s="1459"/>
      <c r="F122" s="1460">
        <f t="shared" si="19"/>
        <v>0</v>
      </c>
      <c r="G122" s="1459"/>
      <c r="H122" s="1460">
        <f t="shared" si="1"/>
        <v>0</v>
      </c>
      <c r="I122" s="1459"/>
      <c r="J122" s="1460">
        <f t="shared" si="2"/>
        <v>0</v>
      </c>
      <c r="K122" s="1459"/>
      <c r="L122" s="1460">
        <f t="shared" si="3"/>
        <v>0</v>
      </c>
      <c r="M122" s="1459"/>
      <c r="N122" s="1460">
        <f t="shared" si="4"/>
        <v>0</v>
      </c>
      <c r="O122" s="1459"/>
      <c r="P122" s="1460">
        <f t="shared" si="5"/>
        <v>0</v>
      </c>
      <c r="Q122" s="1459"/>
      <c r="R122" s="1461">
        <f t="shared" si="6"/>
        <v>0</v>
      </c>
      <c r="S122" s="1459"/>
      <c r="T122" s="1460">
        <f t="shared" si="7"/>
        <v>0</v>
      </c>
      <c r="U122" s="1462"/>
      <c r="V122" s="1461">
        <f t="shared" si="8"/>
        <v>0</v>
      </c>
      <c r="W122" s="1459"/>
      <c r="X122" s="1460">
        <f t="shared" si="9"/>
        <v>0</v>
      </c>
      <c r="Y122" s="1462"/>
      <c r="Z122" s="1461">
        <f t="shared" si="10"/>
        <v>0</v>
      </c>
      <c r="AA122" s="1459"/>
      <c r="AB122" s="1460">
        <f t="shared" si="11"/>
        <v>0</v>
      </c>
      <c r="AC122" s="1463"/>
      <c r="AD122" s="1479"/>
      <c r="AE122" s="1265">
        <f t="shared" si="29"/>
        <v>1</v>
      </c>
      <c r="AF122" s="1464">
        <f t="shared" si="34"/>
        <v>0</v>
      </c>
      <c r="AG122" s="1465">
        <f t="shared" si="14"/>
        <v>0</v>
      </c>
      <c r="AH122" s="1466">
        <f t="shared" si="35"/>
        <v>0</v>
      </c>
      <c r="AJ122" s="1357">
        <v>50</v>
      </c>
      <c r="AK122" s="1358"/>
    </row>
    <row r="123" spans="2:37" ht="21.75">
      <c r="B123" s="1477" t="s">
        <v>893</v>
      </c>
      <c r="C123" s="1457" t="s">
        <v>894</v>
      </c>
      <c r="D123" s="1458">
        <v>5</v>
      </c>
      <c r="E123" s="1459"/>
      <c r="F123" s="1460">
        <f t="shared" si="19"/>
        <v>0</v>
      </c>
      <c r="G123" s="1459"/>
      <c r="H123" s="1460">
        <f t="shared" si="1"/>
        <v>0</v>
      </c>
      <c r="I123" s="1459"/>
      <c r="J123" s="1460">
        <f t="shared" si="2"/>
        <v>0</v>
      </c>
      <c r="K123" s="1459"/>
      <c r="L123" s="1460">
        <f t="shared" si="3"/>
        <v>0</v>
      </c>
      <c r="M123" s="1459"/>
      <c r="N123" s="1460">
        <f t="shared" si="4"/>
        <v>0</v>
      </c>
      <c r="O123" s="1459"/>
      <c r="P123" s="1460">
        <f t="shared" si="5"/>
        <v>0</v>
      </c>
      <c r="Q123" s="1459"/>
      <c r="R123" s="1461">
        <f t="shared" si="6"/>
        <v>0</v>
      </c>
      <c r="S123" s="1459"/>
      <c r="T123" s="1460">
        <f t="shared" si="7"/>
        <v>0</v>
      </c>
      <c r="U123" s="1462"/>
      <c r="V123" s="1461">
        <f t="shared" si="8"/>
        <v>0</v>
      </c>
      <c r="W123" s="1459"/>
      <c r="X123" s="1460">
        <f t="shared" si="9"/>
        <v>0</v>
      </c>
      <c r="Y123" s="1462"/>
      <c r="Z123" s="1461">
        <f t="shared" si="10"/>
        <v>0</v>
      </c>
      <c r="AA123" s="1459"/>
      <c r="AB123" s="1460">
        <f t="shared" si="11"/>
        <v>0</v>
      </c>
      <c r="AC123" s="1463"/>
      <c r="AD123" s="1479"/>
      <c r="AE123" s="1265">
        <f t="shared" si="29"/>
        <v>5</v>
      </c>
      <c r="AF123" s="1464">
        <f t="shared" si="34"/>
        <v>0</v>
      </c>
      <c r="AG123" s="1465">
        <f t="shared" si="14"/>
        <v>0</v>
      </c>
      <c r="AH123" s="1466">
        <f t="shared" si="35"/>
        <v>0</v>
      </c>
      <c r="AJ123" s="1357">
        <v>52</v>
      </c>
      <c r="AK123" s="1358"/>
    </row>
    <row r="124" spans="2:37" ht="21.75" customHeight="1">
      <c r="B124" s="1477" t="s">
        <v>460</v>
      </c>
      <c r="C124" s="1457" t="s">
        <v>448</v>
      </c>
      <c r="D124" s="1458">
        <v>5</v>
      </c>
      <c r="E124" s="1459"/>
      <c r="F124" s="1460">
        <f t="shared" si="19"/>
        <v>0</v>
      </c>
      <c r="G124" s="1459"/>
      <c r="H124" s="1460">
        <f t="shared" si="1"/>
        <v>0</v>
      </c>
      <c r="I124" s="1459"/>
      <c r="J124" s="1460">
        <f t="shared" si="2"/>
        <v>0</v>
      </c>
      <c r="K124" s="1459"/>
      <c r="L124" s="1460">
        <f t="shared" si="3"/>
        <v>0</v>
      </c>
      <c r="M124" s="1459"/>
      <c r="N124" s="1460">
        <f t="shared" si="4"/>
        <v>0</v>
      </c>
      <c r="O124" s="1459"/>
      <c r="P124" s="1460">
        <f t="shared" si="5"/>
        <v>0</v>
      </c>
      <c r="Q124" s="1459"/>
      <c r="R124" s="1461">
        <f t="shared" si="6"/>
        <v>0</v>
      </c>
      <c r="S124" s="1459"/>
      <c r="T124" s="1460">
        <f t="shared" si="7"/>
        <v>0</v>
      </c>
      <c r="U124" s="1462"/>
      <c r="V124" s="1461">
        <f t="shared" si="8"/>
        <v>0</v>
      </c>
      <c r="W124" s="1459"/>
      <c r="X124" s="1460">
        <f t="shared" si="9"/>
        <v>0</v>
      </c>
      <c r="Y124" s="1462"/>
      <c r="Z124" s="1461">
        <f t="shared" si="10"/>
        <v>0</v>
      </c>
      <c r="AA124" s="1459"/>
      <c r="AB124" s="1460">
        <f t="shared" si="11"/>
        <v>0</v>
      </c>
      <c r="AC124" s="1463"/>
      <c r="AD124" s="1354">
        <v>0.2</v>
      </c>
      <c r="AE124" s="1265">
        <f t="shared" si="29"/>
        <v>5</v>
      </c>
      <c r="AF124" s="1464">
        <f t="shared" si="34"/>
        <v>0</v>
      </c>
      <c r="AG124" s="1465">
        <f t="shared" si="14"/>
        <v>0</v>
      </c>
      <c r="AH124" s="1466">
        <f t="shared" si="35"/>
        <v>0</v>
      </c>
      <c r="AJ124" s="1357">
        <v>22</v>
      </c>
      <c r="AK124" s="1358"/>
    </row>
    <row r="125" spans="2:37" ht="21.75">
      <c r="B125" s="1477"/>
      <c r="C125" s="1457" t="s">
        <v>449</v>
      </c>
      <c r="D125" s="1458">
        <v>3</v>
      </c>
      <c r="E125" s="1459"/>
      <c r="F125" s="1460">
        <f t="shared" si="19"/>
        <v>0</v>
      </c>
      <c r="G125" s="1459">
        <v>1</v>
      </c>
      <c r="H125" s="1460">
        <f t="shared" si="1"/>
        <v>3</v>
      </c>
      <c r="I125" s="1459"/>
      <c r="J125" s="1460">
        <f t="shared" si="2"/>
        <v>0</v>
      </c>
      <c r="K125" s="1459"/>
      <c r="L125" s="1460">
        <f t="shared" si="3"/>
        <v>0</v>
      </c>
      <c r="M125" s="1459"/>
      <c r="N125" s="1460">
        <f t="shared" si="4"/>
        <v>0</v>
      </c>
      <c r="O125" s="1459"/>
      <c r="P125" s="1460">
        <f t="shared" si="5"/>
        <v>0</v>
      </c>
      <c r="Q125" s="1459"/>
      <c r="R125" s="1461">
        <f t="shared" si="6"/>
        <v>0</v>
      </c>
      <c r="S125" s="1459"/>
      <c r="T125" s="1460">
        <f t="shared" si="7"/>
        <v>0</v>
      </c>
      <c r="U125" s="1462"/>
      <c r="V125" s="1461">
        <f t="shared" si="8"/>
        <v>0</v>
      </c>
      <c r="W125" s="1459"/>
      <c r="X125" s="1460">
        <f t="shared" si="9"/>
        <v>0</v>
      </c>
      <c r="Y125" s="1462"/>
      <c r="Z125" s="1461">
        <f t="shared" si="10"/>
        <v>0</v>
      </c>
      <c r="AA125" s="1459"/>
      <c r="AB125" s="1460">
        <f t="shared" si="11"/>
        <v>0</v>
      </c>
      <c r="AC125" s="1463"/>
      <c r="AD125" s="1354"/>
      <c r="AE125" s="1265">
        <f t="shared" si="29"/>
        <v>3</v>
      </c>
      <c r="AF125" s="1464">
        <f t="shared" si="34"/>
        <v>3</v>
      </c>
      <c r="AG125" s="1465">
        <f t="shared" si="14"/>
        <v>3</v>
      </c>
      <c r="AH125" s="1466">
        <f t="shared" si="35"/>
        <v>1</v>
      </c>
      <c r="AJ125" s="1357">
        <v>64</v>
      </c>
      <c r="AK125" s="1358"/>
    </row>
    <row r="126" spans="2:37" ht="31.5">
      <c r="B126" s="1477" t="s">
        <v>895</v>
      </c>
      <c r="C126" s="1457" t="s">
        <v>450</v>
      </c>
      <c r="D126" s="1458">
        <v>2.5</v>
      </c>
      <c r="E126" s="1459"/>
      <c r="F126" s="1460">
        <f t="shared" si="19"/>
        <v>0</v>
      </c>
      <c r="G126" s="1459"/>
      <c r="H126" s="1460">
        <f t="shared" si="1"/>
        <v>0</v>
      </c>
      <c r="I126" s="1459"/>
      <c r="J126" s="1460">
        <f t="shared" si="2"/>
        <v>0</v>
      </c>
      <c r="K126" s="1459"/>
      <c r="L126" s="1460">
        <f t="shared" si="3"/>
        <v>0</v>
      </c>
      <c r="M126" s="1459"/>
      <c r="N126" s="1460">
        <f t="shared" si="4"/>
        <v>0</v>
      </c>
      <c r="O126" s="1459"/>
      <c r="P126" s="1460">
        <f t="shared" si="5"/>
        <v>0</v>
      </c>
      <c r="Q126" s="1459"/>
      <c r="R126" s="1461">
        <f t="shared" si="6"/>
        <v>0</v>
      </c>
      <c r="S126" s="1459"/>
      <c r="T126" s="1460">
        <f t="shared" si="7"/>
        <v>0</v>
      </c>
      <c r="U126" s="1462"/>
      <c r="V126" s="1461">
        <f t="shared" si="8"/>
        <v>0</v>
      </c>
      <c r="W126" s="1459"/>
      <c r="X126" s="1460">
        <f t="shared" si="9"/>
        <v>0</v>
      </c>
      <c r="Y126" s="1462"/>
      <c r="Z126" s="1461">
        <f t="shared" si="10"/>
        <v>0</v>
      </c>
      <c r="AA126" s="1459"/>
      <c r="AB126" s="1460">
        <f t="shared" si="11"/>
        <v>0</v>
      </c>
      <c r="AC126" s="1463"/>
      <c r="AD126" s="1354"/>
      <c r="AE126" s="1265">
        <f t="shared" si="29"/>
        <v>2.5</v>
      </c>
      <c r="AF126" s="1464">
        <f t="shared" si="34"/>
        <v>0</v>
      </c>
      <c r="AG126" s="1465">
        <f t="shared" si="14"/>
        <v>0</v>
      </c>
      <c r="AH126" s="1466">
        <f t="shared" si="35"/>
        <v>0</v>
      </c>
      <c r="AJ126" s="1357">
        <v>4</v>
      </c>
      <c r="AK126" s="1358"/>
    </row>
    <row r="127" spans="2:37" ht="21" customHeight="1">
      <c r="B127" s="1477" t="s">
        <v>896</v>
      </c>
      <c r="C127" s="528" t="s">
        <v>451</v>
      </c>
      <c r="D127" s="1371">
        <v>6</v>
      </c>
      <c r="E127" s="1349"/>
      <c r="F127" s="1350">
        <f t="shared" si="19"/>
        <v>0</v>
      </c>
      <c r="G127" s="1349"/>
      <c r="H127" s="1350">
        <f t="shared" si="1"/>
        <v>0</v>
      </c>
      <c r="I127" s="1349"/>
      <c r="J127" s="1350">
        <f t="shared" si="2"/>
        <v>0</v>
      </c>
      <c r="K127" s="1349"/>
      <c r="L127" s="1350">
        <f t="shared" si="3"/>
        <v>0</v>
      </c>
      <c r="M127" s="1349"/>
      <c r="N127" s="1350">
        <f t="shared" si="4"/>
        <v>0</v>
      </c>
      <c r="O127" s="1349"/>
      <c r="P127" s="1350">
        <f t="shared" si="5"/>
        <v>0</v>
      </c>
      <c r="Q127" s="1349"/>
      <c r="R127" s="1351">
        <f t="shared" si="6"/>
        <v>0</v>
      </c>
      <c r="S127" s="1349"/>
      <c r="T127" s="1350">
        <f t="shared" si="7"/>
        <v>0</v>
      </c>
      <c r="U127" s="1352"/>
      <c r="V127" s="1351">
        <f t="shared" si="8"/>
        <v>0</v>
      </c>
      <c r="W127" s="1349"/>
      <c r="X127" s="1350">
        <f t="shared" si="9"/>
        <v>0</v>
      </c>
      <c r="Y127" s="1352"/>
      <c r="Z127" s="1351">
        <f t="shared" si="10"/>
        <v>0</v>
      </c>
      <c r="AA127" s="1349"/>
      <c r="AB127" s="1350">
        <f t="shared" si="11"/>
        <v>0</v>
      </c>
      <c r="AC127" s="1353"/>
      <c r="AD127" s="1354"/>
      <c r="AE127" s="1206">
        <f t="shared" si="29"/>
        <v>6</v>
      </c>
      <c r="AF127" s="1355">
        <f t="shared" si="34"/>
        <v>0</v>
      </c>
      <c r="AG127" s="1356">
        <f t="shared" si="14"/>
        <v>0</v>
      </c>
      <c r="AH127" s="804">
        <f t="shared" si="35"/>
        <v>0</v>
      </c>
      <c r="AJ127" s="1357">
        <v>28</v>
      </c>
      <c r="AK127" s="1358"/>
    </row>
    <row r="128" spans="2:37" ht="20.25">
      <c r="B128" s="1477"/>
      <c r="C128" s="460" t="s">
        <v>452</v>
      </c>
      <c r="D128" s="1360">
        <v>5</v>
      </c>
      <c r="E128" s="1361"/>
      <c r="F128" s="1362">
        <f t="shared" si="19"/>
        <v>0</v>
      </c>
      <c r="G128" s="1361"/>
      <c r="H128" s="1362">
        <f t="shared" si="1"/>
        <v>0</v>
      </c>
      <c r="I128" s="1361"/>
      <c r="J128" s="1362">
        <f t="shared" si="2"/>
        <v>0</v>
      </c>
      <c r="K128" s="1361"/>
      <c r="L128" s="1362">
        <f t="shared" si="3"/>
        <v>0</v>
      </c>
      <c r="M128" s="1361"/>
      <c r="N128" s="1362">
        <f t="shared" si="4"/>
        <v>0</v>
      </c>
      <c r="O128" s="1361"/>
      <c r="P128" s="1362">
        <f t="shared" si="5"/>
        <v>0</v>
      </c>
      <c r="Q128" s="1361"/>
      <c r="R128" s="1363">
        <f t="shared" si="6"/>
        <v>0</v>
      </c>
      <c r="S128" s="1361"/>
      <c r="T128" s="1362">
        <f t="shared" si="7"/>
        <v>0</v>
      </c>
      <c r="U128" s="1364"/>
      <c r="V128" s="1363">
        <f t="shared" si="8"/>
        <v>0</v>
      </c>
      <c r="W128" s="1361"/>
      <c r="X128" s="1362">
        <f t="shared" si="9"/>
        <v>0</v>
      </c>
      <c r="Y128" s="1364"/>
      <c r="Z128" s="1363">
        <f t="shared" si="10"/>
        <v>0</v>
      </c>
      <c r="AA128" s="1361"/>
      <c r="AB128" s="1362">
        <f t="shared" si="11"/>
        <v>0</v>
      </c>
      <c r="AC128" s="1365"/>
      <c r="AD128" s="1354"/>
      <c r="AE128" s="662">
        <f t="shared" si="29"/>
        <v>5</v>
      </c>
      <c r="AF128" s="663">
        <f t="shared" si="34"/>
        <v>0</v>
      </c>
      <c r="AG128" s="664">
        <f t="shared" si="14"/>
        <v>0</v>
      </c>
      <c r="AH128" s="665">
        <f t="shared" si="35"/>
        <v>0</v>
      </c>
      <c r="AJ128" s="1357">
        <v>26</v>
      </c>
      <c r="AK128" s="1358"/>
    </row>
    <row r="129" spans="2:37" ht="20.25">
      <c r="B129" s="1477"/>
      <c r="C129" s="460" t="s">
        <v>453</v>
      </c>
      <c r="D129" s="1360">
        <v>4</v>
      </c>
      <c r="E129" s="1361"/>
      <c r="F129" s="1362">
        <f t="shared" si="19"/>
        <v>0</v>
      </c>
      <c r="G129" s="1361"/>
      <c r="H129" s="1362">
        <f t="shared" si="1"/>
        <v>0</v>
      </c>
      <c r="I129" s="1361"/>
      <c r="J129" s="1362">
        <f t="shared" si="2"/>
        <v>0</v>
      </c>
      <c r="K129" s="1361"/>
      <c r="L129" s="1362">
        <f t="shared" si="3"/>
        <v>0</v>
      </c>
      <c r="M129" s="1361"/>
      <c r="N129" s="1362">
        <f t="shared" si="4"/>
        <v>0</v>
      </c>
      <c r="O129" s="1361"/>
      <c r="P129" s="1362">
        <f t="shared" si="5"/>
        <v>0</v>
      </c>
      <c r="Q129" s="1361"/>
      <c r="R129" s="1363">
        <f t="shared" si="6"/>
        <v>0</v>
      </c>
      <c r="S129" s="1361"/>
      <c r="T129" s="1362">
        <f t="shared" si="7"/>
        <v>0</v>
      </c>
      <c r="U129" s="1364"/>
      <c r="V129" s="1363">
        <f t="shared" si="8"/>
        <v>0</v>
      </c>
      <c r="W129" s="1361"/>
      <c r="X129" s="1362">
        <f t="shared" si="9"/>
        <v>0</v>
      </c>
      <c r="Y129" s="1364"/>
      <c r="Z129" s="1363">
        <f t="shared" si="10"/>
        <v>0</v>
      </c>
      <c r="AA129" s="1361"/>
      <c r="AB129" s="1362">
        <f t="shared" si="11"/>
        <v>0</v>
      </c>
      <c r="AC129" s="1365"/>
      <c r="AD129" s="1354"/>
      <c r="AE129" s="662">
        <f t="shared" si="29"/>
        <v>4</v>
      </c>
      <c r="AF129" s="663">
        <f t="shared" si="34"/>
        <v>0</v>
      </c>
      <c r="AG129" s="664">
        <f t="shared" si="14"/>
        <v>0</v>
      </c>
      <c r="AH129" s="665">
        <f t="shared" si="35"/>
        <v>0</v>
      </c>
      <c r="AJ129" s="1357">
        <v>17</v>
      </c>
      <c r="AK129" s="1358"/>
    </row>
    <row r="130" spans="2:37" ht="20.25">
      <c r="B130" s="1477"/>
      <c r="C130" s="460" t="s">
        <v>454</v>
      </c>
      <c r="D130" s="1360">
        <v>4</v>
      </c>
      <c r="E130" s="1361"/>
      <c r="F130" s="1362">
        <f t="shared" si="19"/>
        <v>0</v>
      </c>
      <c r="G130" s="1361"/>
      <c r="H130" s="1362">
        <f t="shared" si="1"/>
        <v>0</v>
      </c>
      <c r="I130" s="1361"/>
      <c r="J130" s="1362">
        <f t="shared" si="2"/>
        <v>0</v>
      </c>
      <c r="K130" s="1361"/>
      <c r="L130" s="1362">
        <f t="shared" si="3"/>
        <v>0</v>
      </c>
      <c r="M130" s="1361"/>
      <c r="N130" s="1362">
        <f t="shared" si="4"/>
        <v>0</v>
      </c>
      <c r="O130" s="1361"/>
      <c r="P130" s="1362">
        <f t="shared" si="5"/>
        <v>0</v>
      </c>
      <c r="Q130" s="1361"/>
      <c r="R130" s="1363">
        <f t="shared" si="6"/>
        <v>0</v>
      </c>
      <c r="S130" s="1361"/>
      <c r="T130" s="1362">
        <f t="shared" si="7"/>
        <v>0</v>
      </c>
      <c r="U130" s="1364"/>
      <c r="V130" s="1363">
        <f t="shared" si="8"/>
        <v>0</v>
      </c>
      <c r="W130" s="1361"/>
      <c r="X130" s="1362">
        <f t="shared" si="9"/>
        <v>0</v>
      </c>
      <c r="Y130" s="1364"/>
      <c r="Z130" s="1363">
        <f t="shared" si="10"/>
        <v>0</v>
      </c>
      <c r="AA130" s="1361"/>
      <c r="AB130" s="1362">
        <f t="shared" si="11"/>
        <v>0</v>
      </c>
      <c r="AC130" s="1365"/>
      <c r="AD130" s="1354"/>
      <c r="AE130" s="662">
        <f t="shared" si="29"/>
        <v>4</v>
      </c>
      <c r="AF130" s="663">
        <f t="shared" si="34"/>
        <v>0</v>
      </c>
      <c r="AG130" s="664">
        <f t="shared" si="14"/>
        <v>0</v>
      </c>
      <c r="AH130" s="665">
        <f t="shared" si="35"/>
        <v>0</v>
      </c>
      <c r="AJ130" s="1357">
        <v>17</v>
      </c>
      <c r="AK130" s="1358"/>
    </row>
    <row r="131" spans="2:37" ht="20.25">
      <c r="B131" s="1477"/>
      <c r="C131" s="460" t="s">
        <v>455</v>
      </c>
      <c r="D131" s="1360">
        <v>4</v>
      </c>
      <c r="E131" s="1361"/>
      <c r="F131" s="1362">
        <f t="shared" si="19"/>
        <v>0</v>
      </c>
      <c r="G131" s="1361"/>
      <c r="H131" s="1362">
        <f t="shared" si="1"/>
        <v>0</v>
      </c>
      <c r="I131" s="1361"/>
      <c r="J131" s="1362">
        <f t="shared" si="2"/>
        <v>0</v>
      </c>
      <c r="K131" s="1361"/>
      <c r="L131" s="1362">
        <f t="shared" si="3"/>
        <v>0</v>
      </c>
      <c r="M131" s="1361"/>
      <c r="N131" s="1362">
        <f t="shared" si="4"/>
        <v>0</v>
      </c>
      <c r="O131" s="1361"/>
      <c r="P131" s="1362">
        <f t="shared" si="5"/>
        <v>0</v>
      </c>
      <c r="Q131" s="1361"/>
      <c r="R131" s="1363">
        <f t="shared" si="6"/>
        <v>0</v>
      </c>
      <c r="S131" s="1361"/>
      <c r="T131" s="1362">
        <f t="shared" si="7"/>
        <v>0</v>
      </c>
      <c r="U131" s="1364"/>
      <c r="V131" s="1363">
        <f t="shared" si="8"/>
        <v>0</v>
      </c>
      <c r="W131" s="1361"/>
      <c r="X131" s="1362">
        <f t="shared" si="9"/>
        <v>0</v>
      </c>
      <c r="Y131" s="1364"/>
      <c r="Z131" s="1363">
        <f t="shared" si="10"/>
        <v>0</v>
      </c>
      <c r="AA131" s="1361"/>
      <c r="AB131" s="1362">
        <f t="shared" si="11"/>
        <v>0</v>
      </c>
      <c r="AC131" s="1365"/>
      <c r="AD131" s="1354"/>
      <c r="AE131" s="662">
        <f t="shared" si="29"/>
        <v>4</v>
      </c>
      <c r="AF131" s="663">
        <f t="shared" si="34"/>
        <v>0</v>
      </c>
      <c r="AG131" s="664">
        <f t="shared" si="14"/>
        <v>0</v>
      </c>
      <c r="AH131" s="665">
        <f t="shared" si="35"/>
        <v>0</v>
      </c>
      <c r="AJ131" s="1357">
        <v>21</v>
      </c>
      <c r="AK131" s="1358"/>
    </row>
    <row r="132" spans="2:37" ht="20.25">
      <c r="B132" s="1477"/>
      <c r="C132" s="460" t="s">
        <v>456</v>
      </c>
      <c r="D132" s="1360">
        <v>7.5</v>
      </c>
      <c r="E132" s="1361"/>
      <c r="F132" s="1362">
        <f t="shared" si="19"/>
        <v>0</v>
      </c>
      <c r="G132" s="1361"/>
      <c r="H132" s="1362">
        <f t="shared" si="1"/>
        <v>0</v>
      </c>
      <c r="I132" s="1361"/>
      <c r="J132" s="1362">
        <f t="shared" si="2"/>
        <v>0</v>
      </c>
      <c r="K132" s="1361"/>
      <c r="L132" s="1362">
        <f t="shared" si="3"/>
        <v>0</v>
      </c>
      <c r="M132" s="1361"/>
      <c r="N132" s="1362">
        <f t="shared" si="4"/>
        <v>0</v>
      </c>
      <c r="O132" s="1361"/>
      <c r="P132" s="1362">
        <f t="shared" si="5"/>
        <v>0</v>
      </c>
      <c r="Q132" s="1361"/>
      <c r="R132" s="1363">
        <f t="shared" si="6"/>
        <v>0</v>
      </c>
      <c r="S132" s="1361"/>
      <c r="T132" s="1362">
        <f t="shared" si="7"/>
        <v>0</v>
      </c>
      <c r="U132" s="1364"/>
      <c r="V132" s="1363">
        <f t="shared" si="8"/>
        <v>0</v>
      </c>
      <c r="W132" s="1361"/>
      <c r="X132" s="1362">
        <f t="shared" si="9"/>
        <v>0</v>
      </c>
      <c r="Y132" s="1364"/>
      <c r="Z132" s="1363">
        <f t="shared" si="10"/>
        <v>0</v>
      </c>
      <c r="AA132" s="1361"/>
      <c r="AB132" s="1362">
        <f t="shared" si="11"/>
        <v>0</v>
      </c>
      <c r="AC132" s="1365"/>
      <c r="AD132" s="1354"/>
      <c r="AE132" s="662">
        <f t="shared" si="29"/>
        <v>7.5</v>
      </c>
      <c r="AF132" s="663">
        <f t="shared" si="34"/>
        <v>0</v>
      </c>
      <c r="AG132" s="664">
        <f t="shared" si="14"/>
        <v>0</v>
      </c>
      <c r="AH132" s="665">
        <f t="shared" si="35"/>
        <v>0</v>
      </c>
      <c r="AJ132" s="1357">
        <v>1</v>
      </c>
      <c r="AK132" s="1358"/>
    </row>
    <row r="133" spans="2:37" ht="28.5">
      <c r="B133" s="1477"/>
      <c r="C133" s="460" t="s">
        <v>457</v>
      </c>
      <c r="D133" s="1360">
        <v>12</v>
      </c>
      <c r="E133" s="1361"/>
      <c r="F133" s="1362">
        <f t="shared" si="19"/>
        <v>0</v>
      </c>
      <c r="G133" s="1361"/>
      <c r="H133" s="1362">
        <f t="shared" si="1"/>
        <v>0</v>
      </c>
      <c r="I133" s="1361"/>
      <c r="J133" s="1362">
        <f t="shared" si="2"/>
        <v>0</v>
      </c>
      <c r="K133" s="1361"/>
      <c r="L133" s="1362">
        <f t="shared" si="3"/>
        <v>0</v>
      </c>
      <c r="M133" s="1361"/>
      <c r="N133" s="1362">
        <f t="shared" si="4"/>
        <v>0</v>
      </c>
      <c r="O133" s="1361"/>
      <c r="P133" s="1362">
        <f t="shared" si="5"/>
        <v>0</v>
      </c>
      <c r="Q133" s="1361"/>
      <c r="R133" s="1363">
        <f t="shared" si="6"/>
        <v>0</v>
      </c>
      <c r="S133" s="1361"/>
      <c r="T133" s="1362">
        <f t="shared" si="7"/>
        <v>0</v>
      </c>
      <c r="U133" s="1364"/>
      <c r="V133" s="1363">
        <f t="shared" si="8"/>
        <v>0</v>
      </c>
      <c r="W133" s="1361"/>
      <c r="X133" s="1362">
        <f t="shared" si="9"/>
        <v>0</v>
      </c>
      <c r="Y133" s="1364"/>
      <c r="Z133" s="1363">
        <f t="shared" si="10"/>
        <v>0</v>
      </c>
      <c r="AA133" s="1361"/>
      <c r="AB133" s="1362">
        <f t="shared" si="11"/>
        <v>0</v>
      </c>
      <c r="AC133" s="1365"/>
      <c r="AD133" s="1354"/>
      <c r="AE133" s="662">
        <f t="shared" si="29"/>
        <v>12</v>
      </c>
      <c r="AF133" s="663">
        <f t="shared" si="34"/>
        <v>0</v>
      </c>
      <c r="AG133" s="664">
        <f t="shared" si="14"/>
        <v>0</v>
      </c>
      <c r="AH133" s="665">
        <f t="shared" si="35"/>
        <v>0</v>
      </c>
      <c r="AJ133" s="1357">
        <v>5</v>
      </c>
      <c r="AK133" s="1358"/>
    </row>
    <row r="134" spans="2:37" ht="28.5">
      <c r="B134" s="1477"/>
      <c r="C134" s="460" t="s">
        <v>331</v>
      </c>
      <c r="D134" s="1360">
        <v>10</v>
      </c>
      <c r="E134" s="1361"/>
      <c r="F134" s="1362">
        <f t="shared" si="19"/>
        <v>0</v>
      </c>
      <c r="G134" s="1361"/>
      <c r="H134" s="1362">
        <f t="shared" si="1"/>
        <v>0</v>
      </c>
      <c r="I134" s="1361"/>
      <c r="J134" s="1362">
        <f t="shared" si="2"/>
        <v>0</v>
      </c>
      <c r="K134" s="1361"/>
      <c r="L134" s="1362">
        <f t="shared" si="3"/>
        <v>0</v>
      </c>
      <c r="M134" s="1361"/>
      <c r="N134" s="1362">
        <f t="shared" si="4"/>
        <v>0</v>
      </c>
      <c r="O134" s="1361"/>
      <c r="P134" s="1362">
        <f t="shared" si="5"/>
        <v>0</v>
      </c>
      <c r="Q134" s="1361"/>
      <c r="R134" s="1363">
        <f t="shared" si="6"/>
        <v>0</v>
      </c>
      <c r="S134" s="1361"/>
      <c r="T134" s="1362">
        <f t="shared" si="7"/>
        <v>0</v>
      </c>
      <c r="U134" s="1364"/>
      <c r="V134" s="1363">
        <f t="shared" si="8"/>
        <v>0</v>
      </c>
      <c r="W134" s="1361"/>
      <c r="X134" s="1362">
        <f t="shared" si="9"/>
        <v>0</v>
      </c>
      <c r="Y134" s="1364"/>
      <c r="Z134" s="1363">
        <f t="shared" si="10"/>
        <v>0</v>
      </c>
      <c r="AA134" s="1361"/>
      <c r="AB134" s="1362">
        <f t="shared" si="11"/>
        <v>0</v>
      </c>
      <c r="AC134" s="1365"/>
      <c r="AD134" s="1354"/>
      <c r="AE134" s="662">
        <f t="shared" si="29"/>
        <v>10</v>
      </c>
      <c r="AF134" s="663">
        <f t="shared" si="34"/>
        <v>0</v>
      </c>
      <c r="AG134" s="664">
        <f t="shared" si="14"/>
        <v>0</v>
      </c>
      <c r="AH134" s="665">
        <f t="shared" si="35"/>
        <v>0</v>
      </c>
      <c r="AJ134" s="1357">
        <v>8</v>
      </c>
      <c r="AK134" s="1358"/>
    </row>
    <row r="135" spans="2:37" ht="21">
      <c r="B135" s="1477"/>
      <c r="C135" s="529" t="s">
        <v>458</v>
      </c>
      <c r="D135" s="540">
        <v>20</v>
      </c>
      <c r="E135" s="1366"/>
      <c r="F135" s="1367">
        <f t="shared" si="19"/>
        <v>0</v>
      </c>
      <c r="G135" s="1366"/>
      <c r="H135" s="1367">
        <f t="shared" si="1"/>
        <v>0</v>
      </c>
      <c r="I135" s="1366"/>
      <c r="J135" s="1367">
        <f t="shared" si="2"/>
        <v>0</v>
      </c>
      <c r="K135" s="1366"/>
      <c r="L135" s="1367">
        <f t="shared" si="3"/>
        <v>0</v>
      </c>
      <c r="M135" s="1366"/>
      <c r="N135" s="1367">
        <f t="shared" si="4"/>
        <v>0</v>
      </c>
      <c r="O135" s="1366"/>
      <c r="P135" s="1367">
        <f t="shared" si="5"/>
        <v>0</v>
      </c>
      <c r="Q135" s="1366"/>
      <c r="R135" s="1368">
        <f t="shared" si="6"/>
        <v>0</v>
      </c>
      <c r="S135" s="1366"/>
      <c r="T135" s="1367">
        <f t="shared" si="7"/>
        <v>0</v>
      </c>
      <c r="U135" s="1369"/>
      <c r="V135" s="1368">
        <f t="shared" si="8"/>
        <v>0</v>
      </c>
      <c r="W135" s="1366"/>
      <c r="X135" s="1367">
        <f t="shared" si="9"/>
        <v>0</v>
      </c>
      <c r="Y135" s="1369"/>
      <c r="Z135" s="1368">
        <f t="shared" si="10"/>
        <v>0</v>
      </c>
      <c r="AA135" s="1366"/>
      <c r="AB135" s="1367">
        <f t="shared" si="11"/>
        <v>0</v>
      </c>
      <c r="AC135" s="1370"/>
      <c r="AD135" s="1354"/>
      <c r="AE135" s="1080">
        <f t="shared" si="29"/>
        <v>20</v>
      </c>
      <c r="AF135" s="902">
        <f t="shared" si="34"/>
        <v>0</v>
      </c>
      <c r="AG135" s="914">
        <f t="shared" si="14"/>
        <v>0</v>
      </c>
      <c r="AH135" s="915">
        <f t="shared" si="35"/>
        <v>0</v>
      </c>
      <c r="AJ135" s="1357">
        <v>1</v>
      </c>
      <c r="AK135" s="1358"/>
    </row>
    <row r="136" spans="2:37" ht="29.25" customHeight="1">
      <c r="B136" s="1456" t="s">
        <v>897</v>
      </c>
      <c r="C136" s="1480" t="s">
        <v>306</v>
      </c>
      <c r="D136" s="1371">
        <v>15</v>
      </c>
      <c r="E136" s="1349"/>
      <c r="F136" s="1350">
        <f t="shared" si="19"/>
        <v>0</v>
      </c>
      <c r="G136" s="1349"/>
      <c r="H136" s="1350">
        <f t="shared" si="1"/>
        <v>0</v>
      </c>
      <c r="I136" s="1349"/>
      <c r="J136" s="1350">
        <f t="shared" si="2"/>
        <v>0</v>
      </c>
      <c r="K136" s="1349"/>
      <c r="L136" s="1350">
        <f t="shared" si="3"/>
        <v>0</v>
      </c>
      <c r="M136" s="1349"/>
      <c r="N136" s="1350">
        <f t="shared" si="4"/>
        <v>0</v>
      </c>
      <c r="O136" s="1349"/>
      <c r="P136" s="1350">
        <f t="shared" si="5"/>
        <v>0</v>
      </c>
      <c r="Q136" s="1349"/>
      <c r="R136" s="1351">
        <f t="shared" si="6"/>
        <v>0</v>
      </c>
      <c r="S136" s="1349"/>
      <c r="T136" s="1350">
        <f t="shared" si="7"/>
        <v>0</v>
      </c>
      <c r="U136" s="1352"/>
      <c r="V136" s="1351">
        <f t="shared" si="8"/>
        <v>0</v>
      </c>
      <c r="W136" s="1349"/>
      <c r="X136" s="1350">
        <f t="shared" si="9"/>
        <v>0</v>
      </c>
      <c r="Y136" s="1352"/>
      <c r="Z136" s="1351">
        <f t="shared" si="10"/>
        <v>0</v>
      </c>
      <c r="AA136" s="1349"/>
      <c r="AB136" s="1350">
        <f t="shared" si="11"/>
        <v>0</v>
      </c>
      <c r="AC136" s="1353">
        <v>9</v>
      </c>
      <c r="AD136" s="1481">
        <v>0.2</v>
      </c>
      <c r="AE136" s="1206">
        <f t="shared" si="29"/>
        <v>6</v>
      </c>
      <c r="AF136" s="1355">
        <f t="shared" si="34"/>
        <v>0</v>
      </c>
      <c r="AG136" s="1356">
        <f t="shared" si="14"/>
        <v>0</v>
      </c>
      <c r="AH136" s="804">
        <f t="shared" si="35"/>
        <v>0</v>
      </c>
      <c r="AJ136" s="1357">
        <v>13</v>
      </c>
      <c r="AK136" s="1358"/>
    </row>
    <row r="137" spans="2:37" ht="21">
      <c r="B137" s="1456"/>
      <c r="C137" s="1252" t="s">
        <v>307</v>
      </c>
      <c r="D137" s="540">
        <v>15</v>
      </c>
      <c r="E137" s="1366"/>
      <c r="F137" s="1367">
        <f t="shared" si="19"/>
        <v>0</v>
      </c>
      <c r="G137" s="1366"/>
      <c r="H137" s="1367">
        <f t="shared" si="1"/>
        <v>0</v>
      </c>
      <c r="I137" s="1366"/>
      <c r="J137" s="1367">
        <f t="shared" si="2"/>
        <v>0</v>
      </c>
      <c r="K137" s="1366"/>
      <c r="L137" s="1367">
        <f t="shared" si="3"/>
        <v>0</v>
      </c>
      <c r="M137" s="1366"/>
      <c r="N137" s="1367">
        <f t="shared" si="4"/>
        <v>0</v>
      </c>
      <c r="O137" s="1366"/>
      <c r="P137" s="1367">
        <f t="shared" si="5"/>
        <v>0</v>
      </c>
      <c r="Q137" s="1366"/>
      <c r="R137" s="1368">
        <f t="shared" si="6"/>
        <v>0</v>
      </c>
      <c r="S137" s="1366"/>
      <c r="T137" s="1367">
        <f t="shared" si="7"/>
        <v>0</v>
      </c>
      <c r="U137" s="1369"/>
      <c r="V137" s="1368">
        <f t="shared" si="8"/>
        <v>0</v>
      </c>
      <c r="W137" s="1366"/>
      <c r="X137" s="1367">
        <f t="shared" si="9"/>
        <v>0</v>
      </c>
      <c r="Y137" s="1369"/>
      <c r="Z137" s="1368">
        <f t="shared" si="10"/>
        <v>0</v>
      </c>
      <c r="AA137" s="1366"/>
      <c r="AB137" s="1367">
        <f t="shared" si="11"/>
        <v>0</v>
      </c>
      <c r="AC137" s="1370">
        <v>9</v>
      </c>
      <c r="AD137" s="1482">
        <v>0.2</v>
      </c>
      <c r="AE137" s="1080">
        <f t="shared" si="29"/>
        <v>6</v>
      </c>
      <c r="AF137" s="902">
        <f t="shared" si="34"/>
        <v>0</v>
      </c>
      <c r="AG137" s="914">
        <f t="shared" si="14"/>
        <v>0</v>
      </c>
      <c r="AH137" s="915">
        <f t="shared" si="35"/>
        <v>0</v>
      </c>
      <c r="AJ137" s="1357">
        <v>4</v>
      </c>
      <c r="AK137" s="1358"/>
    </row>
    <row r="138" spans="2:37" ht="21" customHeight="1">
      <c r="B138" s="1483" t="s">
        <v>898</v>
      </c>
      <c r="C138" s="1480" t="s">
        <v>758</v>
      </c>
      <c r="D138" s="1484">
        <v>4.9</v>
      </c>
      <c r="E138" s="1485"/>
      <c r="F138" s="1486">
        <f t="shared" si="19"/>
        <v>0</v>
      </c>
      <c r="G138" s="1485"/>
      <c r="H138" s="1486">
        <f t="shared" si="1"/>
        <v>0</v>
      </c>
      <c r="I138" s="1485"/>
      <c r="J138" s="1486">
        <f t="shared" si="2"/>
        <v>0</v>
      </c>
      <c r="K138" s="1485">
        <v>1</v>
      </c>
      <c r="L138" s="1486">
        <f t="shared" si="3"/>
        <v>4.9</v>
      </c>
      <c r="M138" s="1485"/>
      <c r="N138" s="1486">
        <f t="shared" si="4"/>
        <v>0</v>
      </c>
      <c r="O138" s="1485"/>
      <c r="P138" s="1486">
        <f t="shared" si="5"/>
        <v>0</v>
      </c>
      <c r="Q138" s="1485"/>
      <c r="R138" s="1486">
        <f t="shared" si="6"/>
        <v>0</v>
      </c>
      <c r="S138" s="1485"/>
      <c r="T138" s="1486">
        <f t="shared" si="7"/>
        <v>0</v>
      </c>
      <c r="U138" s="1485"/>
      <c r="V138" s="1486">
        <f t="shared" si="8"/>
        <v>0</v>
      </c>
      <c r="W138" s="1485"/>
      <c r="X138" s="1486">
        <f t="shared" si="9"/>
        <v>0</v>
      </c>
      <c r="Y138" s="1485"/>
      <c r="Z138" s="1486">
        <f t="shared" si="10"/>
        <v>0</v>
      </c>
      <c r="AA138" s="1485"/>
      <c r="AB138" s="1486">
        <f t="shared" si="11"/>
        <v>0</v>
      </c>
      <c r="AC138" s="1487">
        <f>'[2]Ventes St Sever'!$AD$175</f>
        <v>3.4</v>
      </c>
      <c r="AD138" s="1488">
        <v>0.1</v>
      </c>
      <c r="AE138" s="1206">
        <f t="shared" si="29"/>
        <v>1.5000000000000004</v>
      </c>
      <c r="AF138" s="1355"/>
      <c r="AG138" s="1356">
        <f t="shared" si="14"/>
        <v>4.9</v>
      </c>
      <c r="AH138" s="804">
        <f t="shared" si="35"/>
        <v>1</v>
      </c>
      <c r="AJ138" s="1357">
        <v>3</v>
      </c>
      <c r="AK138" s="1358"/>
    </row>
    <row r="139" spans="2:37" ht="20.25">
      <c r="B139" s="1483"/>
      <c r="C139" s="1161" t="s">
        <v>403</v>
      </c>
      <c r="D139" s="461">
        <v>16.5</v>
      </c>
      <c r="E139" s="1489"/>
      <c r="F139" s="1490">
        <f t="shared" si="19"/>
        <v>0</v>
      </c>
      <c r="G139" s="1489"/>
      <c r="H139" s="1490">
        <f t="shared" si="1"/>
        <v>0</v>
      </c>
      <c r="I139" s="1489"/>
      <c r="J139" s="1490">
        <f t="shared" si="2"/>
        <v>0</v>
      </c>
      <c r="K139" s="1489"/>
      <c r="L139" s="1490">
        <f t="shared" si="3"/>
        <v>0</v>
      </c>
      <c r="M139" s="1489"/>
      <c r="N139" s="1490">
        <f t="shared" si="4"/>
        <v>0</v>
      </c>
      <c r="O139" s="1489"/>
      <c r="P139" s="1490">
        <f t="shared" si="5"/>
        <v>0</v>
      </c>
      <c r="Q139" s="1489"/>
      <c r="R139" s="1490">
        <f t="shared" si="6"/>
        <v>0</v>
      </c>
      <c r="S139" s="1489"/>
      <c r="T139" s="1490">
        <f t="shared" si="7"/>
        <v>0</v>
      </c>
      <c r="U139" s="1489"/>
      <c r="V139" s="1490">
        <f t="shared" si="8"/>
        <v>0</v>
      </c>
      <c r="W139" s="1489"/>
      <c r="X139" s="1490">
        <f t="shared" si="9"/>
        <v>0</v>
      </c>
      <c r="Y139" s="1489"/>
      <c r="Z139" s="1490">
        <f t="shared" si="10"/>
        <v>0</v>
      </c>
      <c r="AA139" s="1489"/>
      <c r="AB139" s="1490">
        <f t="shared" si="11"/>
        <v>0</v>
      </c>
      <c r="AC139" s="1491"/>
      <c r="AD139" s="1488"/>
      <c r="AE139" s="751"/>
      <c r="AF139" s="752"/>
      <c r="AG139" s="847">
        <f t="shared" si="14"/>
        <v>0</v>
      </c>
      <c r="AH139" s="848"/>
      <c r="AJ139" s="1357"/>
      <c r="AK139" s="1358"/>
    </row>
    <row r="140" spans="2:37" ht="20.25">
      <c r="B140" s="1483"/>
      <c r="C140" s="453" t="s">
        <v>899</v>
      </c>
      <c r="D140" s="461">
        <v>18.3</v>
      </c>
      <c r="E140" s="1489"/>
      <c r="F140" s="1490">
        <f t="shared" si="19"/>
        <v>0</v>
      </c>
      <c r="G140" s="1489"/>
      <c r="H140" s="1490">
        <f t="shared" si="1"/>
        <v>0</v>
      </c>
      <c r="I140" s="1489"/>
      <c r="J140" s="1490">
        <f t="shared" si="2"/>
        <v>0</v>
      </c>
      <c r="K140" s="1489"/>
      <c r="L140" s="1490">
        <f t="shared" si="3"/>
        <v>0</v>
      </c>
      <c r="M140" s="1489"/>
      <c r="N140" s="1490">
        <f t="shared" si="4"/>
        <v>0</v>
      </c>
      <c r="O140" s="1489"/>
      <c r="P140" s="1490">
        <f t="shared" si="5"/>
        <v>0</v>
      </c>
      <c r="Q140" s="1489"/>
      <c r="R140" s="1490">
        <f t="shared" si="6"/>
        <v>0</v>
      </c>
      <c r="S140" s="1489"/>
      <c r="T140" s="1490">
        <f t="shared" si="7"/>
        <v>0</v>
      </c>
      <c r="U140" s="1489"/>
      <c r="V140" s="1490">
        <f t="shared" si="8"/>
        <v>0</v>
      </c>
      <c r="W140" s="1489"/>
      <c r="X140" s="1490">
        <f t="shared" si="9"/>
        <v>0</v>
      </c>
      <c r="Y140" s="1489"/>
      <c r="Z140" s="1490">
        <f t="shared" si="10"/>
        <v>0</v>
      </c>
      <c r="AA140" s="1489"/>
      <c r="AB140" s="1490">
        <f t="shared" si="11"/>
        <v>0</v>
      </c>
      <c r="AC140" s="1491"/>
      <c r="AD140" s="1488"/>
      <c r="AE140" s="751"/>
      <c r="AF140" s="752"/>
      <c r="AG140" s="847">
        <f t="shared" si="14"/>
        <v>0</v>
      </c>
      <c r="AH140" s="848"/>
      <c r="AJ140" s="1357"/>
      <c r="AK140" s="1358"/>
    </row>
    <row r="141" spans="2:37" ht="21">
      <c r="B141" s="1483"/>
      <c r="C141" s="1172" t="s">
        <v>759</v>
      </c>
      <c r="D141" s="478">
        <v>4.5</v>
      </c>
      <c r="E141" s="1492"/>
      <c r="F141" s="1493">
        <f t="shared" si="19"/>
        <v>0</v>
      </c>
      <c r="G141" s="1492"/>
      <c r="H141" s="1493">
        <f t="shared" si="1"/>
        <v>0</v>
      </c>
      <c r="I141" s="1492"/>
      <c r="J141" s="1493">
        <f t="shared" si="2"/>
        <v>0</v>
      </c>
      <c r="K141" s="1492"/>
      <c r="L141" s="1493">
        <f t="shared" si="3"/>
        <v>0</v>
      </c>
      <c r="M141" s="1492"/>
      <c r="N141" s="1493">
        <f t="shared" si="4"/>
        <v>0</v>
      </c>
      <c r="O141" s="1492"/>
      <c r="P141" s="1493">
        <f t="shared" si="5"/>
        <v>0</v>
      </c>
      <c r="Q141" s="1492"/>
      <c r="R141" s="1493">
        <f t="shared" si="6"/>
        <v>0</v>
      </c>
      <c r="S141" s="1492"/>
      <c r="T141" s="1493">
        <f t="shared" si="7"/>
        <v>0</v>
      </c>
      <c r="U141" s="1492"/>
      <c r="V141" s="1493">
        <f t="shared" si="8"/>
        <v>0</v>
      </c>
      <c r="W141" s="1492"/>
      <c r="X141" s="1493">
        <f t="shared" si="9"/>
        <v>0</v>
      </c>
      <c r="Y141" s="1492"/>
      <c r="Z141" s="1493">
        <f t="shared" si="10"/>
        <v>0</v>
      </c>
      <c r="AA141" s="1492"/>
      <c r="AB141" s="1493">
        <f t="shared" si="11"/>
        <v>0</v>
      </c>
      <c r="AC141" s="1494">
        <f>'[2]Ventes St Sever'!$AD$176</f>
        <v>3.05</v>
      </c>
      <c r="AD141" s="1488"/>
      <c r="AE141" s="686">
        <f aca="true" t="shared" si="36" ref="AE141:AE142">D141-AC141</f>
        <v>1.4500000000000002</v>
      </c>
      <c r="AF141" s="687"/>
      <c r="AG141" s="688">
        <f t="shared" si="14"/>
        <v>0</v>
      </c>
      <c r="AH141" s="689">
        <f aca="true" t="shared" si="37" ref="AH141:AH147">AA141+Y141+W141+U141+S141+Q141+O141+M141+K141+I141+G141+E141</f>
        <v>0</v>
      </c>
      <c r="AJ141" s="1357">
        <v>0</v>
      </c>
      <c r="AK141" s="1358"/>
    </row>
    <row r="142" spans="2:37" ht="21" customHeight="1">
      <c r="B142" s="1456" t="s">
        <v>786</v>
      </c>
      <c r="C142" s="1480" t="s">
        <v>900</v>
      </c>
      <c r="D142" s="1484">
        <v>7.2</v>
      </c>
      <c r="E142" s="1485"/>
      <c r="F142" s="1486">
        <f t="shared" si="19"/>
        <v>0</v>
      </c>
      <c r="G142" s="1485"/>
      <c r="H142" s="1486">
        <f t="shared" si="1"/>
        <v>0</v>
      </c>
      <c r="I142" s="1485"/>
      <c r="J142" s="1486">
        <f t="shared" si="2"/>
        <v>0</v>
      </c>
      <c r="K142" s="1485"/>
      <c r="L142" s="1486">
        <f t="shared" si="3"/>
        <v>0</v>
      </c>
      <c r="M142" s="1485"/>
      <c r="N142" s="1486">
        <f t="shared" si="4"/>
        <v>0</v>
      </c>
      <c r="O142" s="1485"/>
      <c r="P142" s="1486">
        <f t="shared" si="5"/>
        <v>0</v>
      </c>
      <c r="Q142" s="1485"/>
      <c r="R142" s="1486">
        <f t="shared" si="6"/>
        <v>0</v>
      </c>
      <c r="S142" s="1485"/>
      <c r="T142" s="1486">
        <f t="shared" si="7"/>
        <v>0</v>
      </c>
      <c r="U142" s="1485"/>
      <c r="V142" s="1486">
        <f t="shared" si="8"/>
        <v>0</v>
      </c>
      <c r="W142" s="1485"/>
      <c r="X142" s="1486">
        <f t="shared" si="9"/>
        <v>0</v>
      </c>
      <c r="Y142" s="1485"/>
      <c r="Z142" s="1486">
        <f t="shared" si="10"/>
        <v>0</v>
      </c>
      <c r="AA142" s="1485"/>
      <c r="AB142" s="1486">
        <f t="shared" si="11"/>
        <v>0</v>
      </c>
      <c r="AC142" s="1487">
        <f>'[2]Ventes St Sever'!$AD$213</f>
        <v>4.8</v>
      </c>
      <c r="AD142" s="1354">
        <v>0.2</v>
      </c>
      <c r="AE142" s="1206">
        <f t="shared" si="36"/>
        <v>2.4000000000000004</v>
      </c>
      <c r="AF142" s="1355"/>
      <c r="AG142" s="1356">
        <f t="shared" si="14"/>
        <v>0</v>
      </c>
      <c r="AH142" s="804">
        <f t="shared" si="37"/>
        <v>0</v>
      </c>
      <c r="AJ142" s="1357">
        <v>1</v>
      </c>
      <c r="AK142" s="1358"/>
    </row>
    <row r="143" spans="2:37" ht="20.25">
      <c r="B143" s="1456"/>
      <c r="C143" s="1161" t="s">
        <v>901</v>
      </c>
      <c r="D143" s="461">
        <v>3.7</v>
      </c>
      <c r="E143" s="1495"/>
      <c r="F143" s="1496">
        <f t="shared" si="19"/>
        <v>0</v>
      </c>
      <c r="G143" s="1495"/>
      <c r="H143" s="1496">
        <f t="shared" si="1"/>
        <v>0</v>
      </c>
      <c r="I143" s="1495"/>
      <c r="J143" s="1496">
        <f t="shared" si="2"/>
        <v>0</v>
      </c>
      <c r="K143" s="1495"/>
      <c r="L143" s="1496">
        <f t="shared" si="3"/>
        <v>0</v>
      </c>
      <c r="M143" s="1495"/>
      <c r="N143" s="1496">
        <f t="shared" si="4"/>
        <v>0</v>
      </c>
      <c r="O143" s="1495"/>
      <c r="P143" s="1496">
        <f t="shared" si="5"/>
        <v>0</v>
      </c>
      <c r="Q143" s="1495"/>
      <c r="R143" s="1496">
        <f t="shared" si="6"/>
        <v>0</v>
      </c>
      <c r="S143" s="1495"/>
      <c r="T143" s="1496">
        <f t="shared" si="7"/>
        <v>0</v>
      </c>
      <c r="U143" s="1495"/>
      <c r="V143" s="1496">
        <f t="shared" si="8"/>
        <v>0</v>
      </c>
      <c r="W143" s="1495"/>
      <c r="X143" s="1496">
        <f t="shared" si="9"/>
        <v>0</v>
      </c>
      <c r="Y143" s="1495"/>
      <c r="Z143" s="1496">
        <f t="shared" si="10"/>
        <v>0</v>
      </c>
      <c r="AA143" s="1495"/>
      <c r="AB143" s="1496">
        <f t="shared" si="11"/>
        <v>0</v>
      </c>
      <c r="AC143" s="1497">
        <f>'[2]Ventes St Sever'!$AD$210</f>
        <v>2.1</v>
      </c>
      <c r="AD143" s="1354"/>
      <c r="AE143" s="662"/>
      <c r="AF143" s="663"/>
      <c r="AG143" s="664">
        <f t="shared" si="14"/>
        <v>0</v>
      </c>
      <c r="AH143" s="665">
        <f t="shared" si="37"/>
        <v>0</v>
      </c>
      <c r="AJ143" s="1357">
        <v>2</v>
      </c>
      <c r="AK143" s="1358"/>
    </row>
    <row r="144" spans="2:37" ht="20.25">
      <c r="B144" s="1456"/>
      <c r="C144" s="1161" t="s">
        <v>902</v>
      </c>
      <c r="D144" s="461">
        <v>3.7</v>
      </c>
      <c r="E144" s="1495"/>
      <c r="F144" s="1496">
        <f t="shared" si="19"/>
        <v>0</v>
      </c>
      <c r="G144" s="1495"/>
      <c r="H144" s="1496">
        <f t="shared" si="1"/>
        <v>0</v>
      </c>
      <c r="I144" s="1495"/>
      <c r="J144" s="1496">
        <f t="shared" si="2"/>
        <v>0</v>
      </c>
      <c r="K144" s="1495"/>
      <c r="L144" s="1496">
        <f t="shared" si="3"/>
        <v>0</v>
      </c>
      <c r="M144" s="1495"/>
      <c r="N144" s="1496">
        <f t="shared" si="4"/>
        <v>0</v>
      </c>
      <c r="O144" s="1495"/>
      <c r="P144" s="1496">
        <f t="shared" si="5"/>
        <v>0</v>
      </c>
      <c r="Q144" s="1495"/>
      <c r="R144" s="1496">
        <f t="shared" si="6"/>
        <v>0</v>
      </c>
      <c r="S144" s="1495"/>
      <c r="T144" s="1496">
        <f t="shared" si="7"/>
        <v>0</v>
      </c>
      <c r="U144" s="1495"/>
      <c r="V144" s="1496">
        <f t="shared" si="8"/>
        <v>0</v>
      </c>
      <c r="W144" s="1495"/>
      <c r="X144" s="1496">
        <f t="shared" si="9"/>
        <v>0</v>
      </c>
      <c r="Y144" s="1495"/>
      <c r="Z144" s="1496">
        <f t="shared" si="10"/>
        <v>0</v>
      </c>
      <c r="AA144" s="1495"/>
      <c r="AB144" s="1496">
        <f t="shared" si="11"/>
        <v>0</v>
      </c>
      <c r="AC144" s="1497">
        <f>'[2]Ventes St Sever'!$AD$207</f>
        <v>2.1</v>
      </c>
      <c r="AD144" s="1354"/>
      <c r="AE144" s="662"/>
      <c r="AF144" s="663"/>
      <c r="AG144" s="664">
        <f t="shared" si="14"/>
        <v>0</v>
      </c>
      <c r="AH144" s="665">
        <f t="shared" si="37"/>
        <v>0</v>
      </c>
      <c r="AJ144" s="1357">
        <v>2</v>
      </c>
      <c r="AK144" s="1358"/>
    </row>
    <row r="145" spans="2:37" ht="20.25">
      <c r="B145" s="1456"/>
      <c r="C145" s="1161" t="s">
        <v>132</v>
      </c>
      <c r="D145" s="461">
        <v>3.7</v>
      </c>
      <c r="E145" s="1495"/>
      <c r="F145" s="1496">
        <f t="shared" si="19"/>
        <v>0</v>
      </c>
      <c r="G145" s="1495"/>
      <c r="H145" s="1496">
        <f t="shared" si="1"/>
        <v>0</v>
      </c>
      <c r="I145" s="1495"/>
      <c r="J145" s="1496">
        <f t="shared" si="2"/>
        <v>0</v>
      </c>
      <c r="K145" s="1495"/>
      <c r="L145" s="1496">
        <f t="shared" si="3"/>
        <v>0</v>
      </c>
      <c r="M145" s="1495"/>
      <c r="N145" s="1496">
        <f t="shared" si="4"/>
        <v>0</v>
      </c>
      <c r="O145" s="1495"/>
      <c r="P145" s="1496">
        <f t="shared" si="5"/>
        <v>0</v>
      </c>
      <c r="Q145" s="1495"/>
      <c r="R145" s="1496">
        <f t="shared" si="6"/>
        <v>0</v>
      </c>
      <c r="S145" s="1495"/>
      <c r="T145" s="1496">
        <f t="shared" si="7"/>
        <v>0</v>
      </c>
      <c r="U145" s="1495"/>
      <c r="V145" s="1496">
        <f t="shared" si="8"/>
        <v>0</v>
      </c>
      <c r="W145" s="1495"/>
      <c r="X145" s="1496">
        <f t="shared" si="9"/>
        <v>0</v>
      </c>
      <c r="Y145" s="1495"/>
      <c r="Z145" s="1496">
        <f t="shared" si="10"/>
        <v>0</v>
      </c>
      <c r="AA145" s="1495"/>
      <c r="AB145" s="1496">
        <f t="shared" si="11"/>
        <v>0</v>
      </c>
      <c r="AC145" s="1497">
        <f>'[2]Ventes St Sever'!$AD$211</f>
        <v>1.79</v>
      </c>
      <c r="AD145" s="1354"/>
      <c r="AE145" s="662"/>
      <c r="AF145" s="663"/>
      <c r="AG145" s="664">
        <f t="shared" si="14"/>
        <v>0</v>
      </c>
      <c r="AH145" s="665">
        <f t="shared" si="37"/>
        <v>0</v>
      </c>
      <c r="AJ145" s="1357">
        <v>2</v>
      </c>
      <c r="AK145" s="1358"/>
    </row>
    <row r="146" spans="2:37" ht="21">
      <c r="B146" s="1456"/>
      <c r="C146" s="1252" t="s">
        <v>128</v>
      </c>
      <c r="D146" s="1498">
        <v>3.7</v>
      </c>
      <c r="E146" s="1499"/>
      <c r="F146" s="1500">
        <f t="shared" si="19"/>
        <v>0</v>
      </c>
      <c r="G146" s="1499"/>
      <c r="H146" s="1500">
        <f t="shared" si="1"/>
        <v>0</v>
      </c>
      <c r="I146" s="1499"/>
      <c r="J146" s="1500">
        <f t="shared" si="2"/>
        <v>0</v>
      </c>
      <c r="K146" s="1499"/>
      <c r="L146" s="1500">
        <f t="shared" si="3"/>
        <v>0</v>
      </c>
      <c r="M146" s="1499"/>
      <c r="N146" s="1500">
        <f t="shared" si="4"/>
        <v>0</v>
      </c>
      <c r="O146" s="1499"/>
      <c r="P146" s="1500">
        <f t="shared" si="5"/>
        <v>0</v>
      </c>
      <c r="Q146" s="1499"/>
      <c r="R146" s="1500">
        <f t="shared" si="6"/>
        <v>0</v>
      </c>
      <c r="S146" s="1499"/>
      <c r="T146" s="1500">
        <f t="shared" si="7"/>
        <v>0</v>
      </c>
      <c r="U146" s="1499"/>
      <c r="V146" s="1500">
        <f t="shared" si="8"/>
        <v>0</v>
      </c>
      <c r="W146" s="1499"/>
      <c r="X146" s="1500">
        <f t="shared" si="9"/>
        <v>0</v>
      </c>
      <c r="Y146" s="1499"/>
      <c r="Z146" s="1500">
        <f t="shared" si="10"/>
        <v>0</v>
      </c>
      <c r="AA146" s="1499"/>
      <c r="AB146" s="1500">
        <f t="shared" si="11"/>
        <v>0</v>
      </c>
      <c r="AC146" s="1501">
        <f>'[2]Ventes St Sever'!$AD$208</f>
        <v>1.79</v>
      </c>
      <c r="AD146" s="1354"/>
      <c r="AE146" s="1080"/>
      <c r="AF146" s="902"/>
      <c r="AG146" s="914">
        <f t="shared" si="14"/>
        <v>0</v>
      </c>
      <c r="AH146" s="915">
        <f t="shared" si="37"/>
        <v>0</v>
      </c>
      <c r="AJ146" s="1357">
        <v>2</v>
      </c>
      <c r="AK146" s="1358"/>
    </row>
    <row r="147" spans="2:37" ht="21.75">
      <c r="B147" s="1456" t="s">
        <v>903</v>
      </c>
      <c r="C147" s="1478" t="s">
        <v>904</v>
      </c>
      <c r="D147" s="1502">
        <v>9.9</v>
      </c>
      <c r="E147" s="1503"/>
      <c r="F147" s="1504">
        <f t="shared" si="19"/>
        <v>0</v>
      </c>
      <c r="G147" s="1503"/>
      <c r="H147" s="1504">
        <f t="shared" si="1"/>
        <v>0</v>
      </c>
      <c r="I147" s="1503"/>
      <c r="J147" s="1504">
        <f t="shared" si="2"/>
        <v>0</v>
      </c>
      <c r="K147" s="1503"/>
      <c r="L147" s="1504">
        <f t="shared" si="3"/>
        <v>0</v>
      </c>
      <c r="M147" s="1503"/>
      <c r="N147" s="1504">
        <f t="shared" si="4"/>
        <v>0</v>
      </c>
      <c r="O147" s="1503"/>
      <c r="P147" s="1504">
        <f t="shared" si="5"/>
        <v>0</v>
      </c>
      <c r="Q147" s="1503"/>
      <c r="R147" s="1505">
        <f t="shared" si="6"/>
        <v>0</v>
      </c>
      <c r="S147" s="1503"/>
      <c r="T147" s="1504">
        <f t="shared" si="7"/>
        <v>0</v>
      </c>
      <c r="U147" s="1506"/>
      <c r="V147" s="1505">
        <f t="shared" si="8"/>
        <v>0</v>
      </c>
      <c r="W147" s="1503"/>
      <c r="X147" s="1504">
        <f t="shared" si="9"/>
        <v>0</v>
      </c>
      <c r="Y147" s="1506"/>
      <c r="Z147" s="1505">
        <f t="shared" si="10"/>
        <v>0</v>
      </c>
      <c r="AA147" s="1503"/>
      <c r="AB147" s="1504">
        <f t="shared" si="11"/>
        <v>0</v>
      </c>
      <c r="AC147" s="1472">
        <f>'[2]Ventes St Sever'!$AD$38</f>
        <v>6.2</v>
      </c>
      <c r="AD147" s="1507">
        <v>0.2</v>
      </c>
      <c r="AE147" s="1474"/>
      <c r="AF147" s="899"/>
      <c r="AG147" s="1475">
        <f t="shared" si="14"/>
        <v>0</v>
      </c>
      <c r="AH147" s="1476">
        <f t="shared" si="37"/>
        <v>0</v>
      </c>
      <c r="AJ147" s="1357">
        <v>0</v>
      </c>
      <c r="AK147" s="1358">
        <v>3</v>
      </c>
    </row>
    <row r="148" spans="2:37" ht="21.75" customHeight="1">
      <c r="B148" s="1456" t="s">
        <v>905</v>
      </c>
      <c r="C148" s="1480" t="s">
        <v>906</v>
      </c>
      <c r="D148" s="1502">
        <v>5.2</v>
      </c>
      <c r="E148" s="1503"/>
      <c r="F148" s="1504">
        <f t="shared" si="19"/>
        <v>0</v>
      </c>
      <c r="G148" s="1503"/>
      <c r="H148" s="1504">
        <f t="shared" si="1"/>
        <v>0</v>
      </c>
      <c r="I148" s="1503"/>
      <c r="J148" s="1504">
        <f t="shared" si="2"/>
        <v>0</v>
      </c>
      <c r="K148" s="1503"/>
      <c r="L148" s="1504">
        <f t="shared" si="3"/>
        <v>0</v>
      </c>
      <c r="M148" s="1503"/>
      <c r="N148" s="1504">
        <f t="shared" si="4"/>
        <v>0</v>
      </c>
      <c r="O148" s="1503"/>
      <c r="P148" s="1504">
        <f t="shared" si="5"/>
        <v>0</v>
      </c>
      <c r="Q148" s="1503"/>
      <c r="R148" s="1505">
        <f t="shared" si="6"/>
        <v>0</v>
      </c>
      <c r="S148" s="1503"/>
      <c r="T148" s="1504">
        <f t="shared" si="7"/>
        <v>0</v>
      </c>
      <c r="U148" s="1506"/>
      <c r="V148" s="1505">
        <f t="shared" si="8"/>
        <v>0</v>
      </c>
      <c r="W148" s="1503"/>
      <c r="X148" s="1504">
        <f t="shared" si="9"/>
        <v>0</v>
      </c>
      <c r="Y148" s="1506"/>
      <c r="Z148" s="1505">
        <f t="shared" si="10"/>
        <v>0</v>
      </c>
      <c r="AA148" s="1503"/>
      <c r="AB148" s="1504">
        <f t="shared" si="11"/>
        <v>0</v>
      </c>
      <c r="AC148" s="1472"/>
      <c r="AD148" s="1507"/>
      <c r="AE148" s="1474"/>
      <c r="AF148" s="899"/>
      <c r="AG148" s="1475">
        <f t="shared" si="14"/>
        <v>0</v>
      </c>
      <c r="AH148" s="1476"/>
      <c r="AJ148" s="1357">
        <v>0</v>
      </c>
      <c r="AK148" s="1358">
        <v>2</v>
      </c>
    </row>
    <row r="149" spans="2:37" ht="21.75">
      <c r="B149" s="1456"/>
      <c r="C149" s="1508" t="s">
        <v>907</v>
      </c>
      <c r="D149" s="1502">
        <v>5</v>
      </c>
      <c r="E149" s="1503"/>
      <c r="F149" s="1504">
        <f t="shared" si="19"/>
        <v>0</v>
      </c>
      <c r="G149" s="1503"/>
      <c r="H149" s="1504">
        <f t="shared" si="1"/>
        <v>0</v>
      </c>
      <c r="I149" s="1503"/>
      <c r="J149" s="1504">
        <f t="shared" si="2"/>
        <v>0</v>
      </c>
      <c r="K149" s="1503"/>
      <c r="L149" s="1504">
        <f t="shared" si="3"/>
        <v>0</v>
      </c>
      <c r="M149" s="1503"/>
      <c r="N149" s="1504">
        <f t="shared" si="4"/>
        <v>0</v>
      </c>
      <c r="O149" s="1503"/>
      <c r="P149" s="1504">
        <f t="shared" si="5"/>
        <v>0</v>
      </c>
      <c r="Q149" s="1503"/>
      <c r="R149" s="1505">
        <f t="shared" si="6"/>
        <v>0</v>
      </c>
      <c r="S149" s="1503"/>
      <c r="T149" s="1504">
        <f t="shared" si="7"/>
        <v>0</v>
      </c>
      <c r="U149" s="1506"/>
      <c r="V149" s="1505">
        <f t="shared" si="8"/>
        <v>0</v>
      </c>
      <c r="W149" s="1503"/>
      <c r="X149" s="1504">
        <f t="shared" si="9"/>
        <v>0</v>
      </c>
      <c r="Y149" s="1506"/>
      <c r="Z149" s="1505">
        <f t="shared" si="10"/>
        <v>0</v>
      </c>
      <c r="AA149" s="1503"/>
      <c r="AB149" s="1504">
        <f t="shared" si="11"/>
        <v>0</v>
      </c>
      <c r="AC149" s="1472">
        <f>'[2]Ventes St Sever'!$AD$13</f>
        <v>3.336492890995261</v>
      </c>
      <c r="AD149" s="1509">
        <v>0.055</v>
      </c>
      <c r="AE149" s="1474"/>
      <c r="AF149" s="899"/>
      <c r="AG149" s="1475">
        <f t="shared" si="14"/>
        <v>0</v>
      </c>
      <c r="AH149" s="1476">
        <f aca="true" t="shared" si="38" ref="AH149:AH161">AA149+Y149+W149+U149+S149+Q149+O149+M149+K149+I149+G149+E149</f>
        <v>0</v>
      </c>
      <c r="AJ149" s="1357">
        <v>2</v>
      </c>
      <c r="AK149" s="1358">
        <v>4</v>
      </c>
    </row>
    <row r="150" spans="2:37" ht="21" customHeight="1">
      <c r="B150" s="1456" t="s">
        <v>319</v>
      </c>
      <c r="C150" s="1480" t="s">
        <v>908</v>
      </c>
      <c r="D150" s="1484">
        <v>5</v>
      </c>
      <c r="E150" s="1485"/>
      <c r="F150" s="1486">
        <f t="shared" si="19"/>
        <v>0</v>
      </c>
      <c r="G150" s="1485"/>
      <c r="H150" s="1486">
        <f t="shared" si="1"/>
        <v>0</v>
      </c>
      <c r="I150" s="1485"/>
      <c r="J150" s="1486">
        <f t="shared" si="2"/>
        <v>0</v>
      </c>
      <c r="K150" s="1485"/>
      <c r="L150" s="1486">
        <f t="shared" si="3"/>
        <v>0</v>
      </c>
      <c r="M150" s="1485"/>
      <c r="N150" s="1486">
        <f t="shared" si="4"/>
        <v>0</v>
      </c>
      <c r="O150" s="1485"/>
      <c r="P150" s="1486">
        <f t="shared" si="5"/>
        <v>0</v>
      </c>
      <c r="Q150" s="1485"/>
      <c r="R150" s="1486">
        <f t="shared" si="6"/>
        <v>0</v>
      </c>
      <c r="S150" s="1485"/>
      <c r="T150" s="1486">
        <f t="shared" si="7"/>
        <v>0</v>
      </c>
      <c r="U150" s="1485"/>
      <c r="V150" s="1486">
        <f t="shared" si="8"/>
        <v>0</v>
      </c>
      <c r="W150" s="1485"/>
      <c r="X150" s="1486">
        <f t="shared" si="9"/>
        <v>0</v>
      </c>
      <c r="Y150" s="1485"/>
      <c r="Z150" s="1486">
        <f t="shared" si="10"/>
        <v>0</v>
      </c>
      <c r="AA150" s="1485"/>
      <c r="AB150" s="1486">
        <f t="shared" si="11"/>
        <v>0</v>
      </c>
      <c r="AC150" s="1487">
        <f>'[2]Ventes St Sever'!$AD$239</f>
        <v>2.92</v>
      </c>
      <c r="AD150" s="1354">
        <v>0.2</v>
      </c>
      <c r="AE150" s="1206"/>
      <c r="AF150" s="1355"/>
      <c r="AG150" s="1356">
        <f t="shared" si="14"/>
        <v>0</v>
      </c>
      <c r="AH150" s="804">
        <f t="shared" si="38"/>
        <v>0</v>
      </c>
      <c r="AJ150" s="1357">
        <v>5</v>
      </c>
      <c r="AK150" s="1358"/>
    </row>
    <row r="151" spans="2:37" ht="20.25">
      <c r="B151" s="1456"/>
      <c r="C151" s="1161" t="s">
        <v>261</v>
      </c>
      <c r="D151" s="461">
        <v>5</v>
      </c>
      <c r="E151" s="1495"/>
      <c r="F151" s="1496">
        <f t="shared" si="19"/>
        <v>0</v>
      </c>
      <c r="G151" s="1495"/>
      <c r="H151" s="1496">
        <f t="shared" si="1"/>
        <v>0</v>
      </c>
      <c r="I151" s="1495"/>
      <c r="J151" s="1496">
        <f t="shared" si="2"/>
        <v>0</v>
      </c>
      <c r="K151" s="1495"/>
      <c r="L151" s="1496">
        <f t="shared" si="3"/>
        <v>0</v>
      </c>
      <c r="M151" s="1495"/>
      <c r="N151" s="1496">
        <f t="shared" si="4"/>
        <v>0</v>
      </c>
      <c r="O151" s="1495"/>
      <c r="P151" s="1496">
        <f t="shared" si="5"/>
        <v>0</v>
      </c>
      <c r="Q151" s="1495"/>
      <c r="R151" s="1496">
        <f t="shared" si="6"/>
        <v>0</v>
      </c>
      <c r="S151" s="1495"/>
      <c r="T151" s="1496">
        <f t="shared" si="7"/>
        <v>0</v>
      </c>
      <c r="U151" s="1495"/>
      <c r="V151" s="1496">
        <f t="shared" si="8"/>
        <v>0</v>
      </c>
      <c r="W151" s="1495"/>
      <c r="X151" s="1496">
        <f t="shared" si="9"/>
        <v>0</v>
      </c>
      <c r="Y151" s="1495"/>
      <c r="Z151" s="1496">
        <f t="shared" si="10"/>
        <v>0</v>
      </c>
      <c r="AA151" s="1495"/>
      <c r="AB151" s="1496">
        <f t="shared" si="11"/>
        <v>0</v>
      </c>
      <c r="AC151" s="1497">
        <f>'[2]Ventes St Sever'!$AD$242</f>
        <v>2.92</v>
      </c>
      <c r="AD151" s="1354"/>
      <c r="AE151" s="662"/>
      <c r="AF151" s="663"/>
      <c r="AG151" s="664">
        <f t="shared" si="14"/>
        <v>0</v>
      </c>
      <c r="AH151" s="665">
        <f t="shared" si="38"/>
        <v>0</v>
      </c>
      <c r="AJ151" s="1357">
        <v>8</v>
      </c>
      <c r="AK151" s="1358"/>
    </row>
    <row r="152" spans="2:37" ht="20.25">
      <c r="B152" s="1456"/>
      <c r="C152" s="1161" t="s">
        <v>321</v>
      </c>
      <c r="D152" s="461">
        <v>6.5</v>
      </c>
      <c r="E152" s="1495"/>
      <c r="F152" s="1496">
        <f t="shared" si="19"/>
        <v>0</v>
      </c>
      <c r="G152" s="1495"/>
      <c r="H152" s="1496">
        <f t="shared" si="1"/>
        <v>0</v>
      </c>
      <c r="I152" s="1495"/>
      <c r="J152" s="1496">
        <f t="shared" si="2"/>
        <v>0</v>
      </c>
      <c r="K152" s="1495"/>
      <c r="L152" s="1496">
        <f t="shared" si="3"/>
        <v>0</v>
      </c>
      <c r="M152" s="1495"/>
      <c r="N152" s="1496">
        <f t="shared" si="4"/>
        <v>0</v>
      </c>
      <c r="O152" s="1495"/>
      <c r="P152" s="1496">
        <f t="shared" si="5"/>
        <v>0</v>
      </c>
      <c r="Q152" s="1495"/>
      <c r="R152" s="1496">
        <f t="shared" si="6"/>
        <v>0</v>
      </c>
      <c r="S152" s="1495"/>
      <c r="T152" s="1496">
        <f t="shared" si="7"/>
        <v>0</v>
      </c>
      <c r="U152" s="1495"/>
      <c r="V152" s="1496">
        <f t="shared" si="8"/>
        <v>0</v>
      </c>
      <c r="W152" s="1495"/>
      <c r="X152" s="1496">
        <f t="shared" si="9"/>
        <v>0</v>
      </c>
      <c r="Y152" s="1495"/>
      <c r="Z152" s="1496">
        <f t="shared" si="10"/>
        <v>0</v>
      </c>
      <c r="AA152" s="1495"/>
      <c r="AB152" s="1496">
        <f t="shared" si="11"/>
        <v>0</v>
      </c>
      <c r="AC152" s="1497">
        <f>'[2]Ventes St Sever'!$AD$240</f>
        <v>3.5</v>
      </c>
      <c r="AD152" s="1354"/>
      <c r="AE152" s="662"/>
      <c r="AF152" s="663"/>
      <c r="AG152" s="664">
        <f t="shared" si="14"/>
        <v>0</v>
      </c>
      <c r="AH152" s="665">
        <f t="shared" si="38"/>
        <v>0</v>
      </c>
      <c r="AJ152" s="1357">
        <v>1</v>
      </c>
      <c r="AK152" s="1358"/>
    </row>
    <row r="153" spans="2:37" ht="20.25">
      <c r="B153" s="1456"/>
      <c r="C153" s="1161" t="s">
        <v>909</v>
      </c>
      <c r="D153" s="461">
        <v>1.3</v>
      </c>
      <c r="E153" s="1495"/>
      <c r="F153" s="1496">
        <f t="shared" si="19"/>
        <v>0</v>
      </c>
      <c r="G153" s="1495"/>
      <c r="H153" s="1496">
        <f t="shared" si="1"/>
        <v>0</v>
      </c>
      <c r="I153" s="1495"/>
      <c r="J153" s="1496">
        <f t="shared" si="2"/>
        <v>0</v>
      </c>
      <c r="K153" s="1495"/>
      <c r="L153" s="1496">
        <f t="shared" si="3"/>
        <v>0</v>
      </c>
      <c r="M153" s="1495"/>
      <c r="N153" s="1496">
        <f t="shared" si="4"/>
        <v>0</v>
      </c>
      <c r="O153" s="1495"/>
      <c r="P153" s="1496">
        <f t="shared" si="5"/>
        <v>0</v>
      </c>
      <c r="Q153" s="1495"/>
      <c r="R153" s="1496">
        <f t="shared" si="6"/>
        <v>0</v>
      </c>
      <c r="S153" s="1495"/>
      <c r="T153" s="1496">
        <f t="shared" si="7"/>
        <v>0</v>
      </c>
      <c r="U153" s="1495"/>
      <c r="V153" s="1496">
        <f t="shared" si="8"/>
        <v>0</v>
      </c>
      <c r="W153" s="1495"/>
      <c r="X153" s="1496">
        <f t="shared" si="9"/>
        <v>0</v>
      </c>
      <c r="Y153" s="1495"/>
      <c r="Z153" s="1496">
        <f t="shared" si="10"/>
        <v>0</v>
      </c>
      <c r="AA153" s="1495"/>
      <c r="AB153" s="1496">
        <f t="shared" si="11"/>
        <v>0</v>
      </c>
      <c r="AC153" s="1497">
        <f>'[2]Ventes St Sever'!$AD$236</f>
        <v>0.76</v>
      </c>
      <c r="AD153" s="1354"/>
      <c r="AE153" s="662"/>
      <c r="AF153" s="663"/>
      <c r="AG153" s="664">
        <f t="shared" si="14"/>
        <v>0</v>
      </c>
      <c r="AH153" s="665">
        <f t="shared" si="38"/>
        <v>0</v>
      </c>
      <c r="AJ153" s="1357">
        <v>1</v>
      </c>
      <c r="AK153" s="1358"/>
    </row>
    <row r="154" spans="2:37" ht="20.25">
      <c r="B154" s="1456"/>
      <c r="C154" s="1161" t="s">
        <v>910</v>
      </c>
      <c r="D154" s="461">
        <v>1.3</v>
      </c>
      <c r="E154" s="1495"/>
      <c r="F154" s="1496">
        <f t="shared" si="19"/>
        <v>0</v>
      </c>
      <c r="G154" s="1495"/>
      <c r="H154" s="1496">
        <f t="shared" si="1"/>
        <v>0</v>
      </c>
      <c r="I154" s="1495"/>
      <c r="J154" s="1496">
        <f t="shared" si="2"/>
        <v>0</v>
      </c>
      <c r="K154" s="1495"/>
      <c r="L154" s="1496">
        <f t="shared" si="3"/>
        <v>0</v>
      </c>
      <c r="M154" s="1495"/>
      <c r="N154" s="1496">
        <f t="shared" si="4"/>
        <v>0</v>
      </c>
      <c r="O154" s="1495"/>
      <c r="P154" s="1496">
        <f t="shared" si="5"/>
        <v>0</v>
      </c>
      <c r="Q154" s="1495"/>
      <c r="R154" s="1496">
        <f t="shared" si="6"/>
        <v>0</v>
      </c>
      <c r="S154" s="1495"/>
      <c r="T154" s="1496">
        <f t="shared" si="7"/>
        <v>0</v>
      </c>
      <c r="U154" s="1495"/>
      <c r="V154" s="1496">
        <f t="shared" si="8"/>
        <v>0</v>
      </c>
      <c r="W154" s="1495"/>
      <c r="X154" s="1496">
        <f t="shared" si="9"/>
        <v>0</v>
      </c>
      <c r="Y154" s="1495"/>
      <c r="Z154" s="1496">
        <f t="shared" si="10"/>
        <v>0</v>
      </c>
      <c r="AA154" s="1495"/>
      <c r="AB154" s="1496">
        <f t="shared" si="11"/>
        <v>0</v>
      </c>
      <c r="AC154" s="1497">
        <f>'[2]Ventes St Sever'!$AD$233</f>
        <v>0.76</v>
      </c>
      <c r="AD154" s="1354"/>
      <c r="AE154" s="662"/>
      <c r="AF154" s="663"/>
      <c r="AG154" s="664">
        <f t="shared" si="14"/>
        <v>0</v>
      </c>
      <c r="AH154" s="665">
        <f t="shared" si="38"/>
        <v>0</v>
      </c>
      <c r="AJ154" s="1357">
        <v>3</v>
      </c>
      <c r="AK154" s="1358"/>
    </row>
    <row r="155" spans="2:37" ht="20.25">
      <c r="B155" s="1456"/>
      <c r="C155" s="1161" t="s">
        <v>911</v>
      </c>
      <c r="D155" s="461">
        <v>1.3</v>
      </c>
      <c r="E155" s="1495"/>
      <c r="F155" s="1496">
        <f t="shared" si="19"/>
        <v>0</v>
      </c>
      <c r="G155" s="1495"/>
      <c r="H155" s="1496">
        <f t="shared" si="1"/>
        <v>0</v>
      </c>
      <c r="I155" s="1495"/>
      <c r="J155" s="1496">
        <f t="shared" si="2"/>
        <v>0</v>
      </c>
      <c r="K155" s="1495"/>
      <c r="L155" s="1496">
        <f t="shared" si="3"/>
        <v>0</v>
      </c>
      <c r="M155" s="1495"/>
      <c r="N155" s="1496">
        <f t="shared" si="4"/>
        <v>0</v>
      </c>
      <c r="O155" s="1495"/>
      <c r="P155" s="1496">
        <f t="shared" si="5"/>
        <v>0</v>
      </c>
      <c r="Q155" s="1495"/>
      <c r="R155" s="1496">
        <f t="shared" si="6"/>
        <v>0</v>
      </c>
      <c r="S155" s="1495"/>
      <c r="T155" s="1496">
        <f t="shared" si="7"/>
        <v>0</v>
      </c>
      <c r="U155" s="1495"/>
      <c r="V155" s="1496">
        <f t="shared" si="8"/>
        <v>0</v>
      </c>
      <c r="W155" s="1495"/>
      <c r="X155" s="1496">
        <f t="shared" si="9"/>
        <v>0</v>
      </c>
      <c r="Y155" s="1495"/>
      <c r="Z155" s="1496">
        <f t="shared" si="10"/>
        <v>0</v>
      </c>
      <c r="AA155" s="1495"/>
      <c r="AB155" s="1496">
        <f t="shared" si="11"/>
        <v>0</v>
      </c>
      <c r="AC155" s="1497">
        <f>'[2]Ventes St Sever'!$AD$235</f>
        <v>0.76</v>
      </c>
      <c r="AD155" s="1354"/>
      <c r="AE155" s="662"/>
      <c r="AF155" s="663"/>
      <c r="AG155" s="664">
        <f t="shared" si="14"/>
        <v>0</v>
      </c>
      <c r="AH155" s="665">
        <f t="shared" si="38"/>
        <v>0</v>
      </c>
      <c r="AJ155" s="1357">
        <v>0</v>
      </c>
      <c r="AK155" s="1358"/>
    </row>
    <row r="156" spans="2:37" ht="20.25">
      <c r="B156" s="1456"/>
      <c r="C156" s="1161" t="s">
        <v>912</v>
      </c>
      <c r="D156" s="461">
        <v>1.3</v>
      </c>
      <c r="E156" s="1495"/>
      <c r="F156" s="1496">
        <f t="shared" si="19"/>
        <v>0</v>
      </c>
      <c r="G156" s="1495"/>
      <c r="H156" s="1496">
        <f t="shared" si="1"/>
        <v>0</v>
      </c>
      <c r="I156" s="1495"/>
      <c r="J156" s="1496">
        <f t="shared" si="2"/>
        <v>0</v>
      </c>
      <c r="K156" s="1495"/>
      <c r="L156" s="1496">
        <f t="shared" si="3"/>
        <v>0</v>
      </c>
      <c r="M156" s="1495"/>
      <c r="N156" s="1496">
        <f t="shared" si="4"/>
        <v>0</v>
      </c>
      <c r="O156" s="1495"/>
      <c r="P156" s="1496">
        <f t="shared" si="5"/>
        <v>0</v>
      </c>
      <c r="Q156" s="1495"/>
      <c r="R156" s="1496">
        <f t="shared" si="6"/>
        <v>0</v>
      </c>
      <c r="S156" s="1495"/>
      <c r="T156" s="1496">
        <f t="shared" si="7"/>
        <v>0</v>
      </c>
      <c r="U156" s="1495"/>
      <c r="V156" s="1496">
        <f t="shared" si="8"/>
        <v>0</v>
      </c>
      <c r="W156" s="1495"/>
      <c r="X156" s="1496">
        <f t="shared" si="9"/>
        <v>0</v>
      </c>
      <c r="Y156" s="1495"/>
      <c r="Z156" s="1496">
        <f t="shared" si="10"/>
        <v>0</v>
      </c>
      <c r="AA156" s="1495"/>
      <c r="AB156" s="1496">
        <f t="shared" si="11"/>
        <v>0</v>
      </c>
      <c r="AC156" s="1497">
        <f>'[2]Ventes St Sever'!$AD$234</f>
        <v>0.76</v>
      </c>
      <c r="AD156" s="1354"/>
      <c r="AE156" s="662"/>
      <c r="AF156" s="663"/>
      <c r="AG156" s="664">
        <f t="shared" si="14"/>
        <v>0</v>
      </c>
      <c r="AH156" s="665">
        <f t="shared" si="38"/>
        <v>0</v>
      </c>
      <c r="AJ156" s="1357">
        <v>1</v>
      </c>
      <c r="AK156" s="1358"/>
    </row>
    <row r="157" spans="2:37" ht="20.25">
      <c r="B157" s="1456"/>
      <c r="C157" s="1161" t="s">
        <v>913</v>
      </c>
      <c r="D157" s="461">
        <v>9.5</v>
      </c>
      <c r="E157" s="1495"/>
      <c r="F157" s="1496">
        <f t="shared" si="19"/>
        <v>0</v>
      </c>
      <c r="G157" s="1495"/>
      <c r="H157" s="1496">
        <f t="shared" si="1"/>
        <v>0</v>
      </c>
      <c r="I157" s="1495"/>
      <c r="J157" s="1496">
        <f t="shared" si="2"/>
        <v>0</v>
      </c>
      <c r="K157" s="1495"/>
      <c r="L157" s="1496">
        <f t="shared" si="3"/>
        <v>0</v>
      </c>
      <c r="M157" s="1495"/>
      <c r="N157" s="1496">
        <f t="shared" si="4"/>
        <v>0</v>
      </c>
      <c r="O157" s="1495"/>
      <c r="P157" s="1496">
        <f t="shared" si="5"/>
        <v>0</v>
      </c>
      <c r="Q157" s="1495"/>
      <c r="R157" s="1496">
        <f t="shared" si="6"/>
        <v>0</v>
      </c>
      <c r="S157" s="1495"/>
      <c r="T157" s="1496">
        <f t="shared" si="7"/>
        <v>0</v>
      </c>
      <c r="U157" s="1495"/>
      <c r="V157" s="1496">
        <f t="shared" si="8"/>
        <v>0</v>
      </c>
      <c r="W157" s="1495"/>
      <c r="X157" s="1496">
        <f t="shared" si="9"/>
        <v>0</v>
      </c>
      <c r="Y157" s="1495"/>
      <c r="Z157" s="1496">
        <f t="shared" si="10"/>
        <v>0</v>
      </c>
      <c r="AA157" s="1495"/>
      <c r="AB157" s="1496">
        <f t="shared" si="11"/>
        <v>0</v>
      </c>
      <c r="AC157" s="1497">
        <f>'[2]Ventes St Sever'!$AD$240</f>
        <v>3.5</v>
      </c>
      <c r="AD157" s="1354"/>
      <c r="AE157" s="662"/>
      <c r="AF157" s="663"/>
      <c r="AG157" s="664">
        <f t="shared" si="14"/>
        <v>0</v>
      </c>
      <c r="AH157" s="665">
        <f t="shared" si="38"/>
        <v>0</v>
      </c>
      <c r="AJ157" s="1357">
        <v>3</v>
      </c>
      <c r="AK157" s="1358"/>
    </row>
    <row r="158" spans="2:37" ht="20.25">
      <c r="B158" s="1456"/>
      <c r="C158" s="1161" t="s">
        <v>324</v>
      </c>
      <c r="D158" s="461">
        <v>12.5</v>
      </c>
      <c r="E158" s="1495"/>
      <c r="F158" s="1496">
        <f t="shared" si="19"/>
        <v>0</v>
      </c>
      <c r="G158" s="1495"/>
      <c r="H158" s="1496">
        <f t="shared" si="1"/>
        <v>0</v>
      </c>
      <c r="I158" s="1495">
        <v>1</v>
      </c>
      <c r="J158" s="1496">
        <f t="shared" si="2"/>
        <v>12.5</v>
      </c>
      <c r="K158" s="1495"/>
      <c r="L158" s="1496">
        <f t="shared" si="3"/>
        <v>0</v>
      </c>
      <c r="M158" s="1495"/>
      <c r="N158" s="1496">
        <f t="shared" si="4"/>
        <v>0</v>
      </c>
      <c r="O158" s="1495"/>
      <c r="P158" s="1496">
        <f t="shared" si="5"/>
        <v>0</v>
      </c>
      <c r="Q158" s="1495"/>
      <c r="R158" s="1496">
        <f t="shared" si="6"/>
        <v>0</v>
      </c>
      <c r="S158" s="1495"/>
      <c r="T158" s="1496">
        <f t="shared" si="7"/>
        <v>0</v>
      </c>
      <c r="U158" s="1495"/>
      <c r="V158" s="1496">
        <f t="shared" si="8"/>
        <v>0</v>
      </c>
      <c r="W158" s="1495"/>
      <c r="X158" s="1496">
        <f t="shared" si="9"/>
        <v>0</v>
      </c>
      <c r="Y158" s="1495"/>
      <c r="Z158" s="1496">
        <f t="shared" si="10"/>
        <v>0</v>
      </c>
      <c r="AA158" s="1495"/>
      <c r="AB158" s="1496">
        <f t="shared" si="11"/>
        <v>0</v>
      </c>
      <c r="AC158" s="1497">
        <f>'[2]Ventes St Sever'!$AD$237</f>
        <v>8.33</v>
      </c>
      <c r="AD158" s="1354"/>
      <c r="AE158" s="662"/>
      <c r="AF158" s="663"/>
      <c r="AG158" s="664">
        <f t="shared" si="14"/>
        <v>12.5</v>
      </c>
      <c r="AH158" s="665">
        <f t="shared" si="38"/>
        <v>1</v>
      </c>
      <c r="AJ158" s="1357">
        <v>2</v>
      </c>
      <c r="AK158" s="1358"/>
    </row>
    <row r="159" spans="2:37" ht="21">
      <c r="B159" s="1456"/>
      <c r="C159" s="1252" t="s">
        <v>914</v>
      </c>
      <c r="D159" s="1498">
        <v>11.9</v>
      </c>
      <c r="E159" s="1499"/>
      <c r="F159" s="1500">
        <f t="shared" si="19"/>
        <v>0</v>
      </c>
      <c r="G159" s="1499"/>
      <c r="H159" s="1500">
        <f t="shared" si="1"/>
        <v>0</v>
      </c>
      <c r="I159" s="1499"/>
      <c r="J159" s="1500">
        <f t="shared" si="2"/>
        <v>0</v>
      </c>
      <c r="K159" s="1499"/>
      <c r="L159" s="1500">
        <f t="shared" si="3"/>
        <v>0</v>
      </c>
      <c r="M159" s="1499"/>
      <c r="N159" s="1500">
        <f t="shared" si="4"/>
        <v>0</v>
      </c>
      <c r="O159" s="1499"/>
      <c r="P159" s="1500">
        <f t="shared" si="5"/>
        <v>0</v>
      </c>
      <c r="Q159" s="1499"/>
      <c r="R159" s="1500">
        <f t="shared" si="6"/>
        <v>0</v>
      </c>
      <c r="S159" s="1499"/>
      <c r="T159" s="1500">
        <f t="shared" si="7"/>
        <v>0</v>
      </c>
      <c r="U159" s="1499"/>
      <c r="V159" s="1500">
        <f t="shared" si="8"/>
        <v>0</v>
      </c>
      <c r="W159" s="1499"/>
      <c r="X159" s="1500">
        <f t="shared" si="9"/>
        <v>0</v>
      </c>
      <c r="Y159" s="1499"/>
      <c r="Z159" s="1500">
        <f t="shared" si="10"/>
        <v>0</v>
      </c>
      <c r="AA159" s="1499"/>
      <c r="AB159" s="1500">
        <f t="shared" si="11"/>
        <v>0</v>
      </c>
      <c r="AC159" s="1501">
        <f>'[2]Ventes St Sever'!$AD$238</f>
        <v>6.95</v>
      </c>
      <c r="AD159" s="1354"/>
      <c r="AE159" s="1080"/>
      <c r="AF159" s="902"/>
      <c r="AG159" s="914">
        <f t="shared" si="14"/>
        <v>0</v>
      </c>
      <c r="AH159" s="915">
        <f t="shared" si="38"/>
        <v>0</v>
      </c>
      <c r="AJ159" s="1357">
        <v>3</v>
      </c>
      <c r="AK159" s="1358"/>
    </row>
    <row r="160" spans="2:37" ht="30">
      <c r="B160" s="1456" t="s">
        <v>357</v>
      </c>
      <c r="C160" s="1478" t="s">
        <v>915</v>
      </c>
      <c r="D160" s="1502">
        <v>7</v>
      </c>
      <c r="E160" s="1503"/>
      <c r="F160" s="1504">
        <f t="shared" si="19"/>
        <v>0</v>
      </c>
      <c r="G160" s="1503"/>
      <c r="H160" s="1504">
        <f t="shared" si="1"/>
        <v>0</v>
      </c>
      <c r="I160" s="1503"/>
      <c r="J160" s="1504">
        <f t="shared" si="2"/>
        <v>0</v>
      </c>
      <c r="K160" s="1503"/>
      <c r="L160" s="1504">
        <f t="shared" si="3"/>
        <v>0</v>
      </c>
      <c r="M160" s="1503"/>
      <c r="N160" s="1504">
        <f t="shared" si="4"/>
        <v>0</v>
      </c>
      <c r="O160" s="1503"/>
      <c r="P160" s="1504">
        <f t="shared" si="5"/>
        <v>0</v>
      </c>
      <c r="Q160" s="1503"/>
      <c r="R160" s="1505">
        <f t="shared" si="6"/>
        <v>0</v>
      </c>
      <c r="S160" s="1503"/>
      <c r="T160" s="1504">
        <f t="shared" si="7"/>
        <v>0</v>
      </c>
      <c r="U160" s="1506"/>
      <c r="V160" s="1505">
        <f t="shared" si="8"/>
        <v>0</v>
      </c>
      <c r="W160" s="1503"/>
      <c r="X160" s="1504">
        <f t="shared" si="9"/>
        <v>0</v>
      </c>
      <c r="Y160" s="1506"/>
      <c r="Z160" s="1505">
        <f t="shared" si="10"/>
        <v>0</v>
      </c>
      <c r="AA160" s="1503"/>
      <c r="AB160" s="1504">
        <f t="shared" si="11"/>
        <v>0</v>
      </c>
      <c r="AC160" s="1472"/>
      <c r="AD160" s="1509">
        <v>0.055</v>
      </c>
      <c r="AE160" s="1474"/>
      <c r="AF160" s="899"/>
      <c r="AG160" s="1475">
        <f t="shared" si="14"/>
        <v>0</v>
      </c>
      <c r="AH160" s="1476">
        <f t="shared" si="38"/>
        <v>0</v>
      </c>
      <c r="AJ160" s="1357">
        <v>3</v>
      </c>
      <c r="AK160" s="1358"/>
    </row>
    <row r="161" spans="2:37" ht="20.25">
      <c r="B161" s="1456" t="s">
        <v>916</v>
      </c>
      <c r="C161" s="1478" t="s">
        <v>542</v>
      </c>
      <c r="D161" s="1502">
        <v>7.5</v>
      </c>
      <c r="E161" s="1503"/>
      <c r="F161" s="1504">
        <f t="shared" si="19"/>
        <v>0</v>
      </c>
      <c r="G161" s="1503"/>
      <c r="H161" s="1504">
        <f t="shared" si="1"/>
        <v>0</v>
      </c>
      <c r="I161" s="1503"/>
      <c r="J161" s="1504">
        <f t="shared" si="2"/>
        <v>0</v>
      </c>
      <c r="K161" s="1503"/>
      <c r="L161" s="1504">
        <f t="shared" si="3"/>
        <v>0</v>
      </c>
      <c r="M161" s="1503"/>
      <c r="N161" s="1504">
        <f t="shared" si="4"/>
        <v>0</v>
      </c>
      <c r="O161" s="1503"/>
      <c r="P161" s="1504">
        <f t="shared" si="5"/>
        <v>0</v>
      </c>
      <c r="Q161" s="1503"/>
      <c r="R161" s="1505">
        <f t="shared" si="6"/>
        <v>0</v>
      </c>
      <c r="S161" s="1503"/>
      <c r="T161" s="1504">
        <f t="shared" si="7"/>
        <v>0</v>
      </c>
      <c r="U161" s="1506"/>
      <c r="V161" s="1505">
        <f t="shared" si="8"/>
        <v>0</v>
      </c>
      <c r="W161" s="1503"/>
      <c r="X161" s="1504">
        <f t="shared" si="9"/>
        <v>0</v>
      </c>
      <c r="Y161" s="1506"/>
      <c r="Z161" s="1505">
        <f t="shared" si="10"/>
        <v>0</v>
      </c>
      <c r="AA161" s="1503"/>
      <c r="AB161" s="1504">
        <f t="shared" si="11"/>
        <v>0</v>
      </c>
      <c r="AC161" s="1472"/>
      <c r="AD161" s="1509"/>
      <c r="AE161" s="1474"/>
      <c r="AF161" s="899"/>
      <c r="AG161" s="1475">
        <f t="shared" si="14"/>
        <v>0</v>
      </c>
      <c r="AH161" s="1476">
        <f t="shared" si="38"/>
        <v>0</v>
      </c>
      <c r="AJ161" s="1357"/>
      <c r="AK161" s="1358">
        <v>7</v>
      </c>
    </row>
    <row r="162" spans="2:37" ht="21.75" customHeight="1">
      <c r="B162" s="1456" t="s">
        <v>67</v>
      </c>
      <c r="C162" s="1478" t="s">
        <v>917</v>
      </c>
      <c r="D162" s="1502">
        <v>7</v>
      </c>
      <c r="E162" s="1503"/>
      <c r="F162" s="1504">
        <f t="shared" si="19"/>
        <v>0</v>
      </c>
      <c r="G162" s="1503"/>
      <c r="H162" s="1504">
        <f t="shared" si="1"/>
        <v>0</v>
      </c>
      <c r="I162" s="1503"/>
      <c r="J162" s="1504">
        <f t="shared" si="2"/>
        <v>0</v>
      </c>
      <c r="K162" s="1503"/>
      <c r="L162" s="1504">
        <f t="shared" si="3"/>
        <v>0</v>
      </c>
      <c r="M162" s="1503"/>
      <c r="N162" s="1504">
        <f t="shared" si="4"/>
        <v>0</v>
      </c>
      <c r="O162" s="1503"/>
      <c r="P162" s="1504">
        <f t="shared" si="5"/>
        <v>0</v>
      </c>
      <c r="Q162" s="1503"/>
      <c r="R162" s="1505">
        <f t="shared" si="6"/>
        <v>0</v>
      </c>
      <c r="S162" s="1503"/>
      <c r="T162" s="1504">
        <f t="shared" si="7"/>
        <v>0</v>
      </c>
      <c r="U162" s="1506"/>
      <c r="V162" s="1505">
        <f t="shared" si="8"/>
        <v>0</v>
      </c>
      <c r="W162" s="1503"/>
      <c r="X162" s="1504">
        <f t="shared" si="9"/>
        <v>0</v>
      </c>
      <c r="Y162" s="1506"/>
      <c r="Z162" s="1505">
        <f t="shared" si="10"/>
        <v>0</v>
      </c>
      <c r="AA162" s="1503"/>
      <c r="AB162" s="1504">
        <f t="shared" si="11"/>
        <v>0</v>
      </c>
      <c r="AC162" s="1472"/>
      <c r="AD162" s="1509"/>
      <c r="AE162" s="1474"/>
      <c r="AF162" s="899"/>
      <c r="AG162" s="1475">
        <f t="shared" si="14"/>
        <v>0</v>
      </c>
      <c r="AH162" s="1476"/>
      <c r="AJ162" s="1357"/>
      <c r="AK162" s="1358"/>
    </row>
    <row r="163" spans="2:37" ht="20.25">
      <c r="B163" s="1456"/>
      <c r="C163" s="1478" t="s">
        <v>918</v>
      </c>
      <c r="D163" s="1502">
        <v>8.9</v>
      </c>
      <c r="E163" s="1503"/>
      <c r="F163" s="1504">
        <f t="shared" si="19"/>
        <v>0</v>
      </c>
      <c r="G163" s="1503"/>
      <c r="H163" s="1504">
        <f t="shared" si="1"/>
        <v>0</v>
      </c>
      <c r="I163" s="1503"/>
      <c r="J163" s="1504">
        <f t="shared" si="2"/>
        <v>0</v>
      </c>
      <c r="K163" s="1503"/>
      <c r="L163" s="1504">
        <f t="shared" si="3"/>
        <v>0</v>
      </c>
      <c r="M163" s="1503"/>
      <c r="N163" s="1504">
        <f t="shared" si="4"/>
        <v>0</v>
      </c>
      <c r="O163" s="1503"/>
      <c r="P163" s="1504">
        <f t="shared" si="5"/>
        <v>0</v>
      </c>
      <c r="Q163" s="1503"/>
      <c r="R163" s="1505">
        <f t="shared" si="6"/>
        <v>0</v>
      </c>
      <c r="S163" s="1503"/>
      <c r="T163" s="1504">
        <f t="shared" si="7"/>
        <v>0</v>
      </c>
      <c r="U163" s="1506"/>
      <c r="V163" s="1505">
        <f t="shared" si="8"/>
        <v>0</v>
      </c>
      <c r="W163" s="1503"/>
      <c r="X163" s="1504">
        <f t="shared" si="9"/>
        <v>0</v>
      </c>
      <c r="Y163" s="1506"/>
      <c r="Z163" s="1505">
        <f t="shared" si="10"/>
        <v>0</v>
      </c>
      <c r="AA163" s="1503"/>
      <c r="AB163" s="1504">
        <f t="shared" si="11"/>
        <v>0</v>
      </c>
      <c r="AC163" s="1472"/>
      <c r="AD163" s="1509"/>
      <c r="AE163" s="1474"/>
      <c r="AF163" s="899"/>
      <c r="AG163" s="1475">
        <f t="shared" si="14"/>
        <v>0</v>
      </c>
      <c r="AH163" s="1476"/>
      <c r="AJ163" s="1357"/>
      <c r="AK163" s="1358"/>
    </row>
    <row r="164" spans="2:37" ht="21.75">
      <c r="B164" s="1456" t="s">
        <v>919</v>
      </c>
      <c r="C164" s="1478"/>
      <c r="D164" s="1502">
        <v>7</v>
      </c>
      <c r="E164" s="1503"/>
      <c r="F164" s="1504">
        <f t="shared" si="19"/>
        <v>0</v>
      </c>
      <c r="G164" s="1503"/>
      <c r="H164" s="1504">
        <f t="shared" si="1"/>
        <v>0</v>
      </c>
      <c r="I164" s="1503"/>
      <c r="J164" s="1504">
        <f t="shared" si="2"/>
        <v>0</v>
      </c>
      <c r="K164" s="1503"/>
      <c r="L164" s="1504">
        <f t="shared" si="3"/>
        <v>0</v>
      </c>
      <c r="M164" s="1503"/>
      <c r="N164" s="1504">
        <f t="shared" si="4"/>
        <v>0</v>
      </c>
      <c r="O164" s="1503"/>
      <c r="P164" s="1504">
        <f t="shared" si="5"/>
        <v>0</v>
      </c>
      <c r="Q164" s="1503"/>
      <c r="R164" s="1505">
        <f t="shared" si="6"/>
        <v>0</v>
      </c>
      <c r="S164" s="1503"/>
      <c r="T164" s="1504">
        <f t="shared" si="7"/>
        <v>0</v>
      </c>
      <c r="U164" s="1506"/>
      <c r="V164" s="1505">
        <f t="shared" si="8"/>
        <v>0</v>
      </c>
      <c r="W164" s="1503"/>
      <c r="X164" s="1504">
        <f t="shared" si="9"/>
        <v>0</v>
      </c>
      <c r="Y164" s="1506"/>
      <c r="Z164" s="1505">
        <f t="shared" si="10"/>
        <v>0</v>
      </c>
      <c r="AA164" s="1503"/>
      <c r="AB164" s="1504">
        <f t="shared" si="11"/>
        <v>0</v>
      </c>
      <c r="AC164" s="1472"/>
      <c r="AD164" s="1507">
        <v>0.2</v>
      </c>
      <c r="AE164" s="1474"/>
      <c r="AF164" s="899"/>
      <c r="AG164" s="1475">
        <f t="shared" si="14"/>
        <v>0</v>
      </c>
      <c r="AH164" s="1476">
        <f aca="true" t="shared" si="39" ref="AH164:AH166">AA164+Y164+W164+U164+S164+Q164+O164+M164+K164+I164+G164+E164</f>
        <v>0</v>
      </c>
      <c r="AJ164" s="1357">
        <v>5</v>
      </c>
      <c r="AK164" s="1358"/>
    </row>
    <row r="165" spans="2:37" ht="21" customHeight="1">
      <c r="B165" s="1456" t="s">
        <v>920</v>
      </c>
      <c r="C165" s="1480" t="s">
        <v>921</v>
      </c>
      <c r="D165" s="1371">
        <v>10</v>
      </c>
      <c r="E165" s="1485"/>
      <c r="F165" s="1486">
        <f t="shared" si="19"/>
        <v>0</v>
      </c>
      <c r="G165" s="1485"/>
      <c r="H165" s="1486">
        <f t="shared" si="1"/>
        <v>0</v>
      </c>
      <c r="I165" s="1485"/>
      <c r="J165" s="1486">
        <f t="shared" si="2"/>
        <v>0</v>
      </c>
      <c r="K165" s="1485"/>
      <c r="L165" s="1486">
        <f t="shared" si="3"/>
        <v>0</v>
      </c>
      <c r="M165" s="1485"/>
      <c r="N165" s="1486">
        <f t="shared" si="4"/>
        <v>0</v>
      </c>
      <c r="O165" s="1485"/>
      <c r="P165" s="1486">
        <f t="shared" si="5"/>
        <v>0</v>
      </c>
      <c r="Q165" s="1485"/>
      <c r="R165" s="1486">
        <f t="shared" si="6"/>
        <v>0</v>
      </c>
      <c r="S165" s="1485"/>
      <c r="T165" s="1486">
        <f t="shared" si="7"/>
        <v>0</v>
      </c>
      <c r="U165" s="1485"/>
      <c r="V165" s="1486">
        <f t="shared" si="8"/>
        <v>0</v>
      </c>
      <c r="W165" s="1485"/>
      <c r="X165" s="1486">
        <f t="shared" si="9"/>
        <v>0</v>
      </c>
      <c r="Y165" s="1485"/>
      <c r="Z165" s="1486">
        <f t="shared" si="10"/>
        <v>0</v>
      </c>
      <c r="AA165" s="1485"/>
      <c r="AB165" s="1486">
        <f t="shared" si="11"/>
        <v>0</v>
      </c>
      <c r="AC165" s="1487">
        <f>'[2]Ventes St Sever'!$AD$35</f>
        <v>6.67</v>
      </c>
      <c r="AD165" s="1354">
        <v>0.2</v>
      </c>
      <c r="AE165" s="1206"/>
      <c r="AF165" s="1355"/>
      <c r="AG165" s="1356">
        <f t="shared" si="14"/>
        <v>0</v>
      </c>
      <c r="AH165" s="804">
        <f t="shared" si="39"/>
        <v>0</v>
      </c>
      <c r="AJ165" s="1357">
        <v>1</v>
      </c>
      <c r="AK165" s="1358"/>
    </row>
    <row r="166" spans="2:37" ht="21">
      <c r="B166" s="1456"/>
      <c r="C166" s="1252" t="s">
        <v>93</v>
      </c>
      <c r="D166" s="540">
        <v>6</v>
      </c>
      <c r="E166" s="1499"/>
      <c r="F166" s="1500">
        <f t="shared" si="19"/>
        <v>0</v>
      </c>
      <c r="G166" s="1499"/>
      <c r="H166" s="1500">
        <f t="shared" si="1"/>
        <v>0</v>
      </c>
      <c r="I166" s="1499"/>
      <c r="J166" s="1500">
        <f t="shared" si="2"/>
        <v>0</v>
      </c>
      <c r="K166" s="1499"/>
      <c r="L166" s="1500">
        <f t="shared" si="3"/>
        <v>0</v>
      </c>
      <c r="M166" s="1499"/>
      <c r="N166" s="1500">
        <f t="shared" si="4"/>
        <v>0</v>
      </c>
      <c r="O166" s="1499"/>
      <c r="P166" s="1500">
        <f t="shared" si="5"/>
        <v>0</v>
      </c>
      <c r="Q166" s="1499"/>
      <c r="R166" s="1500">
        <f t="shared" si="6"/>
        <v>0</v>
      </c>
      <c r="S166" s="1499"/>
      <c r="T166" s="1500">
        <f t="shared" si="7"/>
        <v>0</v>
      </c>
      <c r="U166" s="1499"/>
      <c r="V166" s="1500">
        <f t="shared" si="8"/>
        <v>0</v>
      </c>
      <c r="W166" s="1499"/>
      <c r="X166" s="1500">
        <f t="shared" si="9"/>
        <v>0</v>
      </c>
      <c r="Y166" s="1499"/>
      <c r="Z166" s="1500">
        <f t="shared" si="10"/>
        <v>0</v>
      </c>
      <c r="AA166" s="1499"/>
      <c r="AB166" s="1500">
        <f t="shared" si="11"/>
        <v>0</v>
      </c>
      <c r="AC166" s="1501">
        <f>'[2]Ventes St Sever'!$AD$34</f>
        <v>4</v>
      </c>
      <c r="AD166" s="1354"/>
      <c r="AE166" s="1080"/>
      <c r="AF166" s="902"/>
      <c r="AG166" s="914">
        <f t="shared" si="14"/>
        <v>0</v>
      </c>
      <c r="AH166" s="915">
        <f t="shared" si="39"/>
        <v>0</v>
      </c>
      <c r="AJ166" s="1357">
        <v>4</v>
      </c>
      <c r="AK166" s="1358"/>
    </row>
    <row r="167" spans="2:37" ht="21.75">
      <c r="B167" s="1510" t="s">
        <v>618</v>
      </c>
      <c r="C167" s="1511"/>
      <c r="D167" s="1512"/>
      <c r="E167" s="1513">
        <f>SUM(E3:E166)</f>
        <v>8</v>
      </c>
      <c r="F167" s="950">
        <f>SUM(F3:F166)</f>
        <v>16</v>
      </c>
      <c r="G167" s="1513">
        <f>SUM(G3:G166)</f>
        <v>10</v>
      </c>
      <c r="H167" s="1514">
        <f>SUM(H3:H166)</f>
        <v>33.75</v>
      </c>
      <c r="I167" s="1513">
        <f>SUM(I3:I166)</f>
        <v>14</v>
      </c>
      <c r="J167" s="950">
        <f>SUM(J3:J166)</f>
        <v>47</v>
      </c>
      <c r="K167" s="1513">
        <f>SUM(K3:K166)</f>
        <v>9</v>
      </c>
      <c r="L167" s="950">
        <f>SUM(L3:L166)</f>
        <v>20.9</v>
      </c>
      <c r="M167" s="949">
        <f>SUM(M3:M166)</f>
        <v>12</v>
      </c>
      <c r="N167" s="950">
        <f>SUM(N3:N166)</f>
        <v>53</v>
      </c>
      <c r="O167" s="1324">
        <f>SUM(O3:O166)</f>
        <v>19</v>
      </c>
      <c r="P167" s="950">
        <f>SUM(P3:P166)</f>
        <v>77</v>
      </c>
      <c r="Q167" s="949">
        <f>SUM(Q3:Q166)</f>
        <v>0</v>
      </c>
      <c r="R167" s="948">
        <f>SUM(R3:R166)</f>
        <v>0</v>
      </c>
      <c r="S167" s="949">
        <f>SUM(S3:S166)</f>
        <v>0</v>
      </c>
      <c r="T167" s="951">
        <f>SUM(T3:T166)</f>
        <v>0</v>
      </c>
      <c r="U167" s="952">
        <f>SUM(U3:U166)</f>
        <v>0</v>
      </c>
      <c r="V167" s="948">
        <f>SUM(V3:V166)</f>
        <v>0</v>
      </c>
      <c r="W167" s="949">
        <f>SUM(W3:W166)</f>
        <v>0</v>
      </c>
      <c r="X167" s="950">
        <f>SUM(X3:X166)</f>
        <v>0</v>
      </c>
      <c r="Y167" s="952">
        <f>SUM(Y3:Y166)</f>
        <v>0</v>
      </c>
      <c r="Z167" s="948">
        <f>SUM(Z3:Z166)</f>
        <v>0</v>
      </c>
      <c r="AA167" s="949">
        <f>SUM(AA3:AA166)</f>
        <v>0</v>
      </c>
      <c r="AB167" s="950">
        <f>SUM(AB3:AB166)</f>
        <v>0</v>
      </c>
      <c r="AC167" s="1515"/>
      <c r="AD167" s="1516"/>
      <c r="AE167" s="1474"/>
      <c r="AF167" s="899"/>
      <c r="AG167" s="1475">
        <f>SUM(AG3:AG166)</f>
        <v>247.65</v>
      </c>
      <c r="AH167" s="1476">
        <f>SUM(AH3:AH166)</f>
        <v>65</v>
      </c>
      <c r="AJ167" s="1357"/>
      <c r="AK167" s="1358"/>
    </row>
    <row r="168" spans="5:27" ht="12.75">
      <c r="E168" s="10" t="s">
        <v>0</v>
      </c>
      <c r="F168" s="307"/>
      <c r="G168" s="596" t="s">
        <v>1</v>
      </c>
      <c r="H168" s="10"/>
      <c r="I168" s="10" t="s">
        <v>619</v>
      </c>
      <c r="K168" s="10" t="s">
        <v>3</v>
      </c>
      <c r="M168" s="10" t="s">
        <v>4</v>
      </c>
      <c r="O168" s="10" t="s">
        <v>5</v>
      </c>
      <c r="Q168" s="10" t="s">
        <v>6</v>
      </c>
      <c r="S168" t="s">
        <v>7</v>
      </c>
      <c r="U168" s="10" t="s">
        <v>8</v>
      </c>
      <c r="W168" t="s">
        <v>9</v>
      </c>
      <c r="Y168" t="s">
        <v>10</v>
      </c>
      <c r="AA168" t="s">
        <v>11</v>
      </c>
    </row>
  </sheetData>
  <sheetProtection selectLockedCells="1" selectUnlockedCells="1"/>
  <mergeCells count="49">
    <mergeCell ref="B1:C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B3:B9"/>
    <mergeCell ref="AD3:AD9"/>
    <mergeCell ref="B10:B15"/>
    <mergeCell ref="AI10:AI19"/>
    <mergeCell ref="AD11:AD13"/>
    <mergeCell ref="AD14:AD18"/>
    <mergeCell ref="B16:B19"/>
    <mergeCell ref="AD19:AD106"/>
    <mergeCell ref="B20:B21"/>
    <mergeCell ref="B22:B24"/>
    <mergeCell ref="B25:B45"/>
    <mergeCell ref="B46:B47"/>
    <mergeCell ref="B48:B50"/>
    <mergeCell ref="B51:B83"/>
    <mergeCell ref="B84:B90"/>
    <mergeCell ref="B91:B97"/>
    <mergeCell ref="B99:B106"/>
    <mergeCell ref="AD107:AD111"/>
    <mergeCell ref="AD112:AD119"/>
    <mergeCell ref="B113:B117"/>
    <mergeCell ref="B118:B119"/>
    <mergeCell ref="AD120:AD121"/>
    <mergeCell ref="B124:B125"/>
    <mergeCell ref="AD124:AD135"/>
    <mergeCell ref="B127:B135"/>
    <mergeCell ref="B136:B137"/>
    <mergeCell ref="B138:B141"/>
    <mergeCell ref="AD138:AD141"/>
    <mergeCell ref="B142:B146"/>
    <mergeCell ref="AD142:AD146"/>
    <mergeCell ref="B148:B149"/>
    <mergeCell ref="B150:B159"/>
    <mergeCell ref="AD150:AD159"/>
    <mergeCell ref="B162:B163"/>
    <mergeCell ref="B165:B166"/>
    <mergeCell ref="AD165:AD166"/>
  </mergeCells>
  <printOptions/>
  <pageMargins left="0.7000000000000001" right="0.7000000000000001" top="0.75" bottom="0.75" header="0.5118110236220472" footer="0.5118110236220472"/>
  <pageSetup horizontalDpi="300" verticalDpi="300" orientation="portrait" paperSize="8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6"/>
  </sheetPr>
  <dimension ref="A1:AQ121"/>
  <sheetViews>
    <sheetView workbookViewId="0" topLeftCell="C1">
      <selection activeCell="M21" sqref="M21"/>
    </sheetView>
  </sheetViews>
  <sheetFormatPr defaultColWidth="9.140625" defaultRowHeight="12.75"/>
  <cols>
    <col min="1" max="1" width="18.421875" style="0" customWidth="1"/>
    <col min="2" max="2" width="18.421875" style="1517" customWidth="1"/>
    <col min="3" max="3" width="36.00390625" style="0" customWidth="1"/>
    <col min="4" max="4" width="35.8515625" style="0" customWidth="1"/>
    <col min="5" max="5" width="11.00390625" style="0" customWidth="1"/>
    <col min="6" max="6" width="18.00390625" style="0" customWidth="1"/>
    <col min="7" max="7" width="17.140625" style="0" customWidth="1"/>
    <col min="8" max="8" width="16.57421875" style="0" customWidth="1"/>
    <col min="9" max="9" width="16.7109375" style="0" customWidth="1"/>
    <col min="10" max="10" width="16.421875" style="0" customWidth="1"/>
    <col min="11" max="11" width="16.57421875" style="0" customWidth="1"/>
    <col min="12" max="12" width="17.00390625" style="0" customWidth="1"/>
    <col min="13" max="13" width="15.7109375" style="0" customWidth="1"/>
    <col min="14" max="14" width="16.57421875" style="0" customWidth="1"/>
    <col min="15" max="15" width="14.8515625" style="0" customWidth="1"/>
    <col min="16" max="16" width="15.140625" style="0" customWidth="1"/>
    <col min="17" max="17" width="15.8515625" style="0" customWidth="1"/>
    <col min="18" max="18" width="15.57421875" style="0" customWidth="1"/>
    <col min="19" max="19" width="16.00390625" style="0" customWidth="1"/>
    <col min="20" max="20" width="11.57421875" style="0" customWidth="1"/>
    <col min="21" max="21" width="17.28125" style="0" customWidth="1"/>
    <col min="22" max="22" width="11.57421875" style="0" customWidth="1"/>
    <col min="23" max="23" width="13.57421875" style="0" customWidth="1"/>
    <col min="24" max="24" width="11.57421875" style="0" customWidth="1"/>
    <col min="25" max="25" width="14.28125" style="0" customWidth="1"/>
    <col min="26" max="29" width="11.57421875" style="0" customWidth="1"/>
    <col min="30" max="33" width="11.421875" style="0" customWidth="1"/>
    <col min="34" max="34" width="23.28125" style="0" customWidth="1"/>
    <col min="35" max="35" width="15.8515625" style="0" customWidth="1"/>
    <col min="36" max="41" width="11.57421875" style="0" customWidth="1"/>
    <col min="42" max="42" width="14.28125" style="0" customWidth="1"/>
    <col min="43" max="16384" width="11.00390625" style="0" customWidth="1"/>
  </cols>
  <sheetData>
    <row r="1" spans="1:5" ht="13.5">
      <c r="A1" s="597" t="s">
        <v>491</v>
      </c>
      <c r="B1" s="1518"/>
      <c r="C1" s="597"/>
      <c r="D1" s="597"/>
      <c r="E1" s="597"/>
    </row>
    <row r="2" spans="1:34" ht="27.75">
      <c r="A2" s="1519" t="s">
        <v>620</v>
      </c>
      <c r="B2" s="1519"/>
      <c r="C2" s="1519"/>
      <c r="D2" s="1519"/>
      <c r="E2" s="966">
        <v>2021</v>
      </c>
      <c r="F2" s="968" t="s">
        <v>0</v>
      </c>
      <c r="G2" s="968"/>
      <c r="H2" s="969" t="s">
        <v>1</v>
      </c>
      <c r="I2" s="969"/>
      <c r="J2" s="968" t="s">
        <v>2</v>
      </c>
      <c r="K2" s="968"/>
      <c r="L2" s="969" t="s">
        <v>3</v>
      </c>
      <c r="M2" s="969"/>
      <c r="N2" s="968" t="s">
        <v>4</v>
      </c>
      <c r="O2" s="968"/>
      <c r="P2" s="969" t="s">
        <v>5</v>
      </c>
      <c r="Q2" s="969"/>
      <c r="R2" s="969" t="s">
        <v>6</v>
      </c>
      <c r="S2" s="969"/>
      <c r="T2" s="970" t="s">
        <v>621</v>
      </c>
      <c r="U2" s="970"/>
      <c r="V2" s="968" t="s">
        <v>8</v>
      </c>
      <c r="W2" s="968"/>
      <c r="X2" s="969" t="s">
        <v>9</v>
      </c>
      <c r="Y2" s="969"/>
      <c r="Z2" s="968" t="s">
        <v>10</v>
      </c>
      <c r="AA2" s="968"/>
      <c r="AB2" s="969" t="s">
        <v>11</v>
      </c>
      <c r="AC2" s="969"/>
      <c r="AD2" s="605"/>
      <c r="AE2" s="605"/>
      <c r="AF2" s="605"/>
      <c r="AG2" s="605"/>
      <c r="AH2" s="605"/>
    </row>
    <row r="3" spans="1:42" ht="165">
      <c r="A3" s="971" t="s">
        <v>493</v>
      </c>
      <c r="B3" s="1520" t="s">
        <v>922</v>
      </c>
      <c r="C3" s="972" t="s">
        <v>494</v>
      </c>
      <c r="D3" s="973" t="s">
        <v>495</v>
      </c>
      <c r="E3" s="974" t="s">
        <v>923</v>
      </c>
      <c r="F3" s="610" t="s">
        <v>497</v>
      </c>
      <c r="G3" s="613" t="s">
        <v>498</v>
      </c>
      <c r="H3" s="612" t="s">
        <v>497</v>
      </c>
      <c r="I3" s="611" t="s">
        <v>499</v>
      </c>
      <c r="J3" s="610" t="s">
        <v>497</v>
      </c>
      <c r="K3" s="613" t="s">
        <v>500</v>
      </c>
      <c r="L3" s="612" t="s">
        <v>497</v>
      </c>
      <c r="M3" s="611" t="s">
        <v>501</v>
      </c>
      <c r="N3" s="610" t="s">
        <v>497</v>
      </c>
      <c r="O3" s="613" t="s">
        <v>502</v>
      </c>
      <c r="P3" s="612" t="s">
        <v>497</v>
      </c>
      <c r="Q3" s="611" t="s">
        <v>503</v>
      </c>
      <c r="R3" s="612" t="s">
        <v>497</v>
      </c>
      <c r="S3" s="611" t="s">
        <v>504</v>
      </c>
      <c r="T3" s="612" t="s">
        <v>497</v>
      </c>
      <c r="U3" s="611" t="s">
        <v>505</v>
      </c>
      <c r="V3" s="610" t="s">
        <v>497</v>
      </c>
      <c r="W3" s="613" t="s">
        <v>506</v>
      </c>
      <c r="X3" s="612" t="s">
        <v>497</v>
      </c>
      <c r="Y3" s="611" t="s">
        <v>507</v>
      </c>
      <c r="Z3" s="610" t="s">
        <v>508</v>
      </c>
      <c r="AA3" s="613" t="s">
        <v>509</v>
      </c>
      <c r="AB3" s="976" t="s">
        <v>497</v>
      </c>
      <c r="AC3" s="615" t="s">
        <v>510</v>
      </c>
      <c r="AD3" s="616" t="s">
        <v>511</v>
      </c>
      <c r="AE3" s="617" t="s">
        <v>512</v>
      </c>
      <c r="AF3" s="617" t="s">
        <v>513</v>
      </c>
      <c r="AG3" s="618" t="s">
        <v>624</v>
      </c>
      <c r="AH3" s="619" t="s">
        <v>515</v>
      </c>
      <c r="AI3" s="620" t="s">
        <v>516</v>
      </c>
      <c r="AJ3" s="621" t="s">
        <v>517</v>
      </c>
      <c r="AK3" s="622" t="s">
        <v>518</v>
      </c>
      <c r="AL3" s="623" t="s">
        <v>519</v>
      </c>
      <c r="AM3" s="622" t="s">
        <v>520</v>
      </c>
      <c r="AN3" s="1521" t="s">
        <v>521</v>
      </c>
      <c r="AO3" s="1522" t="s">
        <v>522</v>
      </c>
      <c r="AP3" s="1523" t="s">
        <v>628</v>
      </c>
    </row>
    <row r="4" spans="1:42" ht="21.75" customHeight="1">
      <c r="A4" s="1524" t="s">
        <v>629</v>
      </c>
      <c r="B4" s="1525" t="s">
        <v>924</v>
      </c>
      <c r="C4" s="1526" t="s">
        <v>40</v>
      </c>
      <c r="D4" s="985" t="s">
        <v>42</v>
      </c>
      <c r="E4" s="986">
        <v>20.9</v>
      </c>
      <c r="F4" s="637"/>
      <c r="G4" s="988">
        <f>F4*E4</f>
        <v>0</v>
      </c>
      <c r="H4" s="634"/>
      <c r="I4" s="631">
        <f aca="true" t="shared" si="0" ref="I4:I116">H4*E4</f>
        <v>0</v>
      </c>
      <c r="J4" s="637"/>
      <c r="K4" s="636">
        <f aca="true" t="shared" si="1" ref="K4:K116">J4*E4</f>
        <v>0</v>
      </c>
      <c r="L4" s="634"/>
      <c r="M4" s="631">
        <f aca="true" t="shared" si="2" ref="M4:M116">L4*E4</f>
        <v>0</v>
      </c>
      <c r="N4" s="637"/>
      <c r="O4" s="636">
        <f aca="true" t="shared" si="3" ref="O4:O116">N4*E4</f>
        <v>0</v>
      </c>
      <c r="P4" s="635"/>
      <c r="Q4" s="631">
        <f aca="true" t="shared" si="4" ref="Q4:Q23">P4*E4</f>
        <v>0</v>
      </c>
      <c r="R4" s="634"/>
      <c r="S4" s="631">
        <f aca="true" t="shared" si="5" ref="S4:S101">R4*E4</f>
        <v>0</v>
      </c>
      <c r="T4" s="634"/>
      <c r="U4" s="631">
        <f aca="true" t="shared" si="6" ref="U4:U116">T4*E4</f>
        <v>0</v>
      </c>
      <c r="V4" s="637"/>
      <c r="W4" s="636">
        <f aca="true" t="shared" si="7" ref="W4:W116">V4*E4</f>
        <v>0</v>
      </c>
      <c r="X4" s="634"/>
      <c r="Y4" s="631">
        <f aca="true" t="shared" si="8" ref="Y4:Y23">X4*E4</f>
        <v>0</v>
      </c>
      <c r="Z4" s="637"/>
      <c r="AA4" s="636">
        <f aca="true" t="shared" si="9" ref="AA4:AA116">Z4*E4</f>
        <v>0</v>
      </c>
      <c r="AB4" s="634"/>
      <c r="AC4" s="631">
        <f aca="true" t="shared" si="10" ref="AC4:AC116">AB4*E4</f>
        <v>0</v>
      </c>
      <c r="AD4" s="638">
        <f>'Commande Alimentaire'!D4</f>
        <v>15.73</v>
      </c>
      <c r="AE4" s="989">
        <f aca="true" t="shared" si="11" ref="AE4:AE9">(AD4*5.5)/100+AD4</f>
        <v>16.59515</v>
      </c>
      <c r="AF4" s="1527">
        <v>0.055</v>
      </c>
      <c r="AG4" s="743">
        <f aca="true" t="shared" si="12" ref="AG4:AG13">E4-AD4</f>
        <v>5.169999999999998</v>
      </c>
      <c r="AH4" s="744">
        <f aca="true" t="shared" si="13" ref="AH4:AH13">AG4*AJ4</f>
        <v>0</v>
      </c>
      <c r="AI4" s="816">
        <f aca="true" t="shared" si="14" ref="AI4:AI25">SUM(AC4+AA4+Y4+W4+U4+S4+Q4+O4+M4+K4+I4+G4)</f>
        <v>0</v>
      </c>
      <c r="AJ4" s="817">
        <f aca="true" t="shared" si="15" ref="AJ4:AJ25">SUM(F4+H4+J4+L4+N4+P4+R4+T4+V4+X4+Z4+AB4)</f>
        <v>0</v>
      </c>
      <c r="AK4" s="1528">
        <v>6</v>
      </c>
      <c r="AL4" s="646"/>
      <c r="AM4" s="647">
        <f aca="true" t="shared" si="16" ref="AM4:AM13">AK4+AL4</f>
        <v>6</v>
      </c>
      <c r="AN4" s="648">
        <f aca="true" t="shared" si="17" ref="AN4:AN10">AL4-AM4</f>
        <v>-6</v>
      </c>
      <c r="AO4" s="649">
        <f aca="true" t="shared" si="18" ref="AO4:AO10">AJ4-AN4</f>
        <v>6</v>
      </c>
      <c r="AP4" s="1528"/>
    </row>
    <row r="5" spans="1:42" ht="21.75">
      <c r="A5" s="1529"/>
      <c r="B5" s="1525" t="s">
        <v>925</v>
      </c>
      <c r="C5" s="984" t="s">
        <v>47</v>
      </c>
      <c r="D5" s="998" t="s">
        <v>926</v>
      </c>
      <c r="E5" s="999">
        <v>14.5</v>
      </c>
      <c r="F5" s="659"/>
      <c r="G5" s="658">
        <f aca="true" t="shared" si="19" ref="G5:G13">E5*F5</f>
        <v>0</v>
      </c>
      <c r="H5" s="68"/>
      <c r="I5" s="654">
        <f t="shared" si="0"/>
        <v>0</v>
      </c>
      <c r="J5" s="659"/>
      <c r="K5" s="658">
        <f t="shared" si="1"/>
        <v>0</v>
      </c>
      <c r="L5" s="68"/>
      <c r="M5" s="654">
        <f t="shared" si="2"/>
        <v>0</v>
      </c>
      <c r="N5" s="659"/>
      <c r="O5" s="658">
        <f t="shared" si="3"/>
        <v>0</v>
      </c>
      <c r="P5" s="657"/>
      <c r="Q5" s="654">
        <f t="shared" si="4"/>
        <v>0</v>
      </c>
      <c r="R5" s="68"/>
      <c r="S5" s="654">
        <f t="shared" si="5"/>
        <v>0</v>
      </c>
      <c r="T5" s="68"/>
      <c r="U5" s="654">
        <f t="shared" si="6"/>
        <v>0</v>
      </c>
      <c r="V5" s="659"/>
      <c r="W5" s="658">
        <f t="shared" si="7"/>
        <v>0</v>
      </c>
      <c r="X5" s="68"/>
      <c r="Y5" s="724">
        <f t="shared" si="8"/>
        <v>0</v>
      </c>
      <c r="Z5" s="659"/>
      <c r="AA5" s="728">
        <f t="shared" si="9"/>
        <v>0</v>
      </c>
      <c r="AB5" s="68"/>
      <c r="AC5" s="724">
        <f t="shared" si="10"/>
        <v>0</v>
      </c>
      <c r="AD5" s="885">
        <f>'Commande Alimentaire'!D9</f>
        <v>10.83</v>
      </c>
      <c r="AE5" s="815">
        <f t="shared" si="11"/>
        <v>11.425650000000001</v>
      </c>
      <c r="AF5" s="1054"/>
      <c r="AG5" s="887">
        <f t="shared" si="12"/>
        <v>3.67</v>
      </c>
      <c r="AH5" s="888">
        <f t="shared" si="13"/>
        <v>0</v>
      </c>
      <c r="AI5" s="664">
        <f t="shared" si="14"/>
        <v>0</v>
      </c>
      <c r="AJ5" s="665">
        <f t="shared" si="15"/>
        <v>0</v>
      </c>
      <c r="AK5" s="1528">
        <v>5</v>
      </c>
      <c r="AL5" s="667"/>
      <c r="AM5" s="647">
        <f t="shared" si="16"/>
        <v>5</v>
      </c>
      <c r="AN5" s="669">
        <f t="shared" si="17"/>
        <v>-5</v>
      </c>
      <c r="AO5" s="670">
        <f t="shared" si="18"/>
        <v>5</v>
      </c>
      <c r="AP5" s="1528"/>
    </row>
    <row r="6" spans="1:42" ht="21.75">
      <c r="A6" s="1529"/>
      <c r="B6" s="1525" t="s">
        <v>927</v>
      </c>
      <c r="C6" s="1526" t="s">
        <v>57</v>
      </c>
      <c r="D6" s="985" t="s">
        <v>59</v>
      </c>
      <c r="E6" s="986">
        <v>5</v>
      </c>
      <c r="F6" s="637"/>
      <c r="G6" s="636">
        <f t="shared" si="19"/>
        <v>0</v>
      </c>
      <c r="H6" s="634"/>
      <c r="I6" s="631">
        <f t="shared" si="0"/>
        <v>0</v>
      </c>
      <c r="J6" s="637"/>
      <c r="K6" s="636">
        <f t="shared" si="1"/>
        <v>0</v>
      </c>
      <c r="L6" s="634"/>
      <c r="M6" s="631">
        <f t="shared" si="2"/>
        <v>0</v>
      </c>
      <c r="N6" s="637"/>
      <c r="O6" s="636">
        <f t="shared" si="3"/>
        <v>0</v>
      </c>
      <c r="P6" s="635"/>
      <c r="Q6" s="631">
        <f t="shared" si="4"/>
        <v>0</v>
      </c>
      <c r="R6" s="634"/>
      <c r="S6" s="631">
        <f t="shared" si="5"/>
        <v>0</v>
      </c>
      <c r="T6" s="634"/>
      <c r="U6" s="631">
        <f t="shared" si="6"/>
        <v>0</v>
      </c>
      <c r="V6" s="637"/>
      <c r="W6" s="636">
        <f t="shared" si="7"/>
        <v>0</v>
      </c>
      <c r="X6" s="634"/>
      <c r="Y6" s="631">
        <f t="shared" si="8"/>
        <v>0</v>
      </c>
      <c r="Z6" s="637"/>
      <c r="AA6" s="636">
        <f t="shared" si="9"/>
        <v>0</v>
      </c>
      <c r="AB6" s="634"/>
      <c r="AC6" s="631">
        <f t="shared" si="10"/>
        <v>0</v>
      </c>
      <c r="AD6" s="638">
        <f>'Commande Alimentaire'!D12</f>
        <v>3.34</v>
      </c>
      <c r="AE6" s="815">
        <f t="shared" si="11"/>
        <v>3.5237</v>
      </c>
      <c r="AF6" s="1054"/>
      <c r="AG6" s="641">
        <f t="shared" si="12"/>
        <v>1.6600000000000001</v>
      </c>
      <c r="AH6" s="642">
        <f t="shared" si="13"/>
        <v>0</v>
      </c>
      <c r="AI6" s="643">
        <f t="shared" si="14"/>
        <v>0</v>
      </c>
      <c r="AJ6" s="644">
        <f t="shared" si="15"/>
        <v>0</v>
      </c>
      <c r="AK6" s="1528">
        <v>21</v>
      </c>
      <c r="AL6" s="646"/>
      <c r="AM6" s="647">
        <f t="shared" si="16"/>
        <v>21</v>
      </c>
      <c r="AN6" s="648">
        <f t="shared" si="17"/>
        <v>-21</v>
      </c>
      <c r="AO6" s="649">
        <f t="shared" si="18"/>
        <v>21</v>
      </c>
      <c r="AP6" s="1528"/>
    </row>
    <row r="7" spans="1:42" ht="21.75">
      <c r="A7" s="1529"/>
      <c r="B7" s="1525" t="s">
        <v>928</v>
      </c>
      <c r="C7" s="1023"/>
      <c r="D7" s="1021" t="s">
        <v>60</v>
      </c>
      <c r="E7" s="1011">
        <v>5.2</v>
      </c>
      <c r="F7" s="706"/>
      <c r="G7" s="1013">
        <f t="shared" si="19"/>
        <v>0</v>
      </c>
      <c r="H7" s="703"/>
      <c r="I7" s="700">
        <f t="shared" si="0"/>
        <v>0</v>
      </c>
      <c r="J7" s="706"/>
      <c r="K7" s="705">
        <f t="shared" si="1"/>
        <v>0</v>
      </c>
      <c r="L7" s="703"/>
      <c r="M7" s="700">
        <f t="shared" si="2"/>
        <v>0</v>
      </c>
      <c r="N7" s="706"/>
      <c r="O7" s="705">
        <f t="shared" si="3"/>
        <v>0</v>
      </c>
      <c r="P7" s="704"/>
      <c r="Q7" s="700">
        <f t="shared" si="4"/>
        <v>0</v>
      </c>
      <c r="R7" s="703"/>
      <c r="S7" s="700">
        <f t="shared" si="5"/>
        <v>0</v>
      </c>
      <c r="T7" s="703"/>
      <c r="U7" s="700">
        <f t="shared" si="6"/>
        <v>0</v>
      </c>
      <c r="V7" s="706"/>
      <c r="W7" s="705">
        <f t="shared" si="7"/>
        <v>0</v>
      </c>
      <c r="X7" s="703"/>
      <c r="Y7" s="700">
        <f t="shared" si="8"/>
        <v>0</v>
      </c>
      <c r="Z7" s="706"/>
      <c r="AA7" s="705">
        <f t="shared" si="9"/>
        <v>0</v>
      </c>
      <c r="AB7" s="703"/>
      <c r="AC7" s="700">
        <f t="shared" si="10"/>
        <v>0</v>
      </c>
      <c r="AD7" s="707">
        <f>'Commande Alimentaire'!D13</f>
        <v>3.47</v>
      </c>
      <c r="AE7" s="815">
        <f t="shared" si="11"/>
        <v>3.6608500000000004</v>
      </c>
      <c r="AF7" s="1054"/>
      <c r="AG7" s="709">
        <f t="shared" si="12"/>
        <v>1.73</v>
      </c>
      <c r="AH7" s="710">
        <f t="shared" si="13"/>
        <v>0</v>
      </c>
      <c r="AI7" s="711">
        <f t="shared" si="14"/>
        <v>0</v>
      </c>
      <c r="AJ7" s="712">
        <f t="shared" si="15"/>
        <v>0</v>
      </c>
      <c r="AK7" s="1528">
        <v>16</v>
      </c>
      <c r="AL7" s="767"/>
      <c r="AM7" s="647">
        <f t="shared" si="16"/>
        <v>16</v>
      </c>
      <c r="AN7" s="768">
        <f t="shared" si="17"/>
        <v>-16</v>
      </c>
      <c r="AO7" s="717">
        <f t="shared" si="18"/>
        <v>16</v>
      </c>
      <c r="AP7" s="1528"/>
    </row>
    <row r="8" spans="1:42" ht="33" customHeight="1">
      <c r="A8" s="1529"/>
      <c r="B8" s="1525" t="s">
        <v>929</v>
      </c>
      <c r="C8" s="1016" t="s">
        <v>61</v>
      </c>
      <c r="D8" s="1017" t="s">
        <v>632</v>
      </c>
      <c r="E8" s="1018">
        <v>24.5</v>
      </c>
      <c r="F8" s="729"/>
      <c r="G8" s="728">
        <f t="shared" si="19"/>
        <v>0</v>
      </c>
      <c r="H8" s="49"/>
      <c r="I8" s="724">
        <f t="shared" si="0"/>
        <v>0</v>
      </c>
      <c r="J8" s="729"/>
      <c r="K8" s="728">
        <f t="shared" si="1"/>
        <v>0</v>
      </c>
      <c r="L8" s="49"/>
      <c r="M8" s="724">
        <f t="shared" si="2"/>
        <v>0</v>
      </c>
      <c r="N8" s="729"/>
      <c r="O8" s="728">
        <f t="shared" si="3"/>
        <v>0</v>
      </c>
      <c r="P8" s="727"/>
      <c r="Q8" s="724">
        <f t="shared" si="4"/>
        <v>0</v>
      </c>
      <c r="R8" s="49"/>
      <c r="S8" s="724">
        <f t="shared" si="5"/>
        <v>0</v>
      </c>
      <c r="T8" s="49"/>
      <c r="U8" s="724">
        <f t="shared" si="6"/>
        <v>0</v>
      </c>
      <c r="V8" s="729"/>
      <c r="W8" s="728">
        <f t="shared" si="7"/>
        <v>0</v>
      </c>
      <c r="X8" s="49"/>
      <c r="Y8" s="724">
        <f t="shared" si="8"/>
        <v>0</v>
      </c>
      <c r="Z8" s="729"/>
      <c r="AA8" s="728">
        <f t="shared" si="9"/>
        <v>0</v>
      </c>
      <c r="AB8" s="49"/>
      <c r="AC8" s="724">
        <f t="shared" si="10"/>
        <v>0</v>
      </c>
      <c r="AD8" s="779">
        <f>'Commande Alimentaire'!D14</f>
        <v>18.34</v>
      </c>
      <c r="AE8" s="815">
        <f t="shared" si="11"/>
        <v>19.3487</v>
      </c>
      <c r="AF8" s="1054"/>
      <c r="AG8" s="732">
        <f t="shared" si="12"/>
        <v>6.16</v>
      </c>
      <c r="AH8" s="783">
        <f t="shared" si="13"/>
        <v>0</v>
      </c>
      <c r="AI8" s="847">
        <f t="shared" si="14"/>
        <v>0</v>
      </c>
      <c r="AJ8" s="848">
        <f t="shared" si="15"/>
        <v>0</v>
      </c>
      <c r="AK8" s="1528">
        <v>5</v>
      </c>
      <c r="AL8" s="646"/>
      <c r="AM8" s="647">
        <f t="shared" si="16"/>
        <v>5</v>
      </c>
      <c r="AN8" s="648">
        <f t="shared" si="17"/>
        <v>-5</v>
      </c>
      <c r="AO8" s="649">
        <f t="shared" si="18"/>
        <v>5</v>
      </c>
      <c r="AP8" s="1528"/>
    </row>
    <row r="9" spans="1:42" ht="21.75">
      <c r="A9" s="1529"/>
      <c r="B9" s="1530" t="s">
        <v>930</v>
      </c>
      <c r="C9" s="984" t="s">
        <v>67</v>
      </c>
      <c r="D9" s="1531" t="s">
        <v>931</v>
      </c>
      <c r="E9" s="1136">
        <v>8.5</v>
      </c>
      <c r="F9" s="884"/>
      <c r="G9" s="883">
        <f t="shared" si="19"/>
        <v>0</v>
      </c>
      <c r="H9" s="881"/>
      <c r="I9" s="878">
        <f t="shared" si="0"/>
        <v>0</v>
      </c>
      <c r="J9" s="884"/>
      <c r="K9" s="883">
        <f t="shared" si="1"/>
        <v>0</v>
      </c>
      <c r="L9" s="881"/>
      <c r="M9" s="878">
        <f t="shared" si="2"/>
        <v>0</v>
      </c>
      <c r="N9" s="884"/>
      <c r="O9" s="883">
        <f t="shared" si="3"/>
        <v>0</v>
      </c>
      <c r="P9" s="882"/>
      <c r="Q9" s="878">
        <f t="shared" si="4"/>
        <v>0</v>
      </c>
      <c r="R9" s="881"/>
      <c r="S9" s="878">
        <f t="shared" si="5"/>
        <v>0</v>
      </c>
      <c r="T9" s="881"/>
      <c r="U9" s="878">
        <f t="shared" si="6"/>
        <v>0</v>
      </c>
      <c r="V9" s="884"/>
      <c r="W9" s="883">
        <f t="shared" si="7"/>
        <v>0</v>
      </c>
      <c r="X9" s="881"/>
      <c r="Y9" s="878">
        <f t="shared" si="8"/>
        <v>0</v>
      </c>
      <c r="Z9" s="884"/>
      <c r="AA9" s="883">
        <f t="shared" si="9"/>
        <v>0</v>
      </c>
      <c r="AB9" s="881"/>
      <c r="AC9" s="878">
        <f t="shared" si="10"/>
        <v>0</v>
      </c>
      <c r="AD9" s="885">
        <f>'Commande Alimentaire'!D19</f>
        <v>6.63</v>
      </c>
      <c r="AE9" s="815">
        <f t="shared" si="11"/>
        <v>6.99465</v>
      </c>
      <c r="AF9" s="1532"/>
      <c r="AG9" s="887">
        <f t="shared" si="12"/>
        <v>1.87</v>
      </c>
      <c r="AH9" s="888">
        <f t="shared" si="13"/>
        <v>0</v>
      </c>
      <c r="AI9" s="889">
        <f t="shared" si="14"/>
        <v>0</v>
      </c>
      <c r="AJ9" s="890">
        <f t="shared" si="15"/>
        <v>0</v>
      </c>
      <c r="AK9" s="1528">
        <v>9</v>
      </c>
      <c r="AL9" s="1007"/>
      <c r="AM9" s="647">
        <f t="shared" si="16"/>
        <v>9</v>
      </c>
      <c r="AN9" s="765">
        <f t="shared" si="17"/>
        <v>-9</v>
      </c>
      <c r="AO9" s="1533">
        <f t="shared" si="18"/>
        <v>9</v>
      </c>
      <c r="AP9" s="1528"/>
    </row>
    <row r="10" spans="1:42" ht="30" customHeight="1">
      <c r="A10" s="1529"/>
      <c r="B10" s="1530" t="s">
        <v>932</v>
      </c>
      <c r="C10" s="1526" t="s">
        <v>933</v>
      </c>
      <c r="D10" s="1174" t="s">
        <v>934</v>
      </c>
      <c r="E10" s="986">
        <v>20</v>
      </c>
      <c r="F10" s="637"/>
      <c r="G10" s="636">
        <f t="shared" si="19"/>
        <v>0</v>
      </c>
      <c r="H10" s="634"/>
      <c r="I10" s="631">
        <f t="shared" si="0"/>
        <v>0</v>
      </c>
      <c r="J10" s="637"/>
      <c r="K10" s="636">
        <f t="shared" si="1"/>
        <v>0</v>
      </c>
      <c r="L10" s="634"/>
      <c r="M10" s="631">
        <f t="shared" si="2"/>
        <v>0</v>
      </c>
      <c r="N10" s="637"/>
      <c r="O10" s="636">
        <f t="shared" si="3"/>
        <v>0</v>
      </c>
      <c r="P10" s="635"/>
      <c r="Q10" s="631">
        <f t="shared" si="4"/>
        <v>0</v>
      </c>
      <c r="R10" s="634"/>
      <c r="S10" s="631">
        <f t="shared" si="5"/>
        <v>0</v>
      </c>
      <c r="T10" s="634"/>
      <c r="U10" s="631">
        <f t="shared" si="6"/>
        <v>0</v>
      </c>
      <c r="V10" s="637"/>
      <c r="W10" s="636">
        <f t="shared" si="7"/>
        <v>0</v>
      </c>
      <c r="X10" s="634"/>
      <c r="Y10" s="631">
        <f t="shared" si="8"/>
        <v>0</v>
      </c>
      <c r="Z10" s="637"/>
      <c r="AA10" s="636">
        <f t="shared" si="9"/>
        <v>0</v>
      </c>
      <c r="AB10" s="634"/>
      <c r="AC10" s="631">
        <f t="shared" si="10"/>
        <v>0</v>
      </c>
      <c r="AD10" s="638">
        <f>'Commande Alimentaire'!D20</f>
        <v>3.16</v>
      </c>
      <c r="AE10" s="639">
        <f aca="true" t="shared" si="20" ref="AE10:AE16">(AD10*20)/100+AD10</f>
        <v>3.7920000000000003</v>
      </c>
      <c r="AF10" s="1283">
        <v>0.2</v>
      </c>
      <c r="AG10" s="641">
        <f t="shared" si="12"/>
        <v>16.84</v>
      </c>
      <c r="AH10" s="642">
        <f t="shared" si="13"/>
        <v>0</v>
      </c>
      <c r="AI10" s="643">
        <f t="shared" si="14"/>
        <v>0</v>
      </c>
      <c r="AJ10" s="644">
        <f t="shared" si="15"/>
        <v>0</v>
      </c>
      <c r="AK10" s="1528">
        <v>24</v>
      </c>
      <c r="AL10" s="646"/>
      <c r="AM10" s="647">
        <f t="shared" si="16"/>
        <v>24</v>
      </c>
      <c r="AN10" s="648">
        <f t="shared" si="17"/>
        <v>-24</v>
      </c>
      <c r="AO10" s="649">
        <f t="shared" si="18"/>
        <v>24</v>
      </c>
      <c r="AP10" s="1528"/>
    </row>
    <row r="11" spans="1:42" ht="21.75">
      <c r="A11" s="1529"/>
      <c r="B11" s="1530" t="s">
        <v>935</v>
      </c>
      <c r="C11" s="1526"/>
      <c r="D11" s="998" t="s">
        <v>936</v>
      </c>
      <c r="E11" s="999">
        <v>7</v>
      </c>
      <c r="F11" s="659"/>
      <c r="G11" s="658">
        <f t="shared" si="19"/>
        <v>0</v>
      </c>
      <c r="H11" s="68"/>
      <c r="I11" s="654">
        <f t="shared" si="0"/>
        <v>0</v>
      </c>
      <c r="J11" s="659"/>
      <c r="K11" s="658">
        <f t="shared" si="1"/>
        <v>0</v>
      </c>
      <c r="L11" s="68"/>
      <c r="M11" s="654">
        <f t="shared" si="2"/>
        <v>0</v>
      </c>
      <c r="N11" s="659"/>
      <c r="O11" s="658">
        <f t="shared" si="3"/>
        <v>0</v>
      </c>
      <c r="P11" s="657"/>
      <c r="Q11" s="654">
        <f t="shared" si="4"/>
        <v>0</v>
      </c>
      <c r="R11" s="68"/>
      <c r="S11" s="631">
        <f t="shared" si="5"/>
        <v>0</v>
      </c>
      <c r="T11" s="68"/>
      <c r="U11" s="631">
        <f t="shared" si="6"/>
        <v>0</v>
      </c>
      <c r="V11" s="659"/>
      <c r="W11" s="636">
        <f t="shared" si="7"/>
        <v>0</v>
      </c>
      <c r="X11" s="68"/>
      <c r="Y11" s="631">
        <f t="shared" si="8"/>
        <v>0</v>
      </c>
      <c r="Z11" s="659"/>
      <c r="AA11" s="636">
        <f t="shared" si="9"/>
        <v>0</v>
      </c>
      <c r="AB11" s="68"/>
      <c r="AC11" s="631">
        <f t="shared" si="10"/>
        <v>0</v>
      </c>
      <c r="AD11" s="660">
        <f>'Commande Alimentaire'!D21</f>
        <v>2.81</v>
      </c>
      <c r="AE11" s="639">
        <f t="shared" si="20"/>
        <v>3.372</v>
      </c>
      <c r="AF11" s="1237"/>
      <c r="AG11" s="662">
        <f t="shared" si="12"/>
        <v>4.1899999999999995</v>
      </c>
      <c r="AH11" s="663">
        <f t="shared" si="13"/>
        <v>0</v>
      </c>
      <c r="AI11" s="664">
        <f t="shared" si="14"/>
        <v>0</v>
      </c>
      <c r="AJ11" s="665">
        <f t="shared" si="15"/>
        <v>0</v>
      </c>
      <c r="AK11" s="1528">
        <v>18</v>
      </c>
      <c r="AL11" s="799"/>
      <c r="AM11" s="647">
        <f t="shared" si="16"/>
        <v>18</v>
      </c>
      <c r="AN11" s="800"/>
      <c r="AO11" s="801"/>
      <c r="AP11" s="1528"/>
    </row>
    <row r="12" spans="1:42" ht="21.75">
      <c r="A12" s="1529"/>
      <c r="B12" s="1530" t="s">
        <v>937</v>
      </c>
      <c r="C12" s="1526"/>
      <c r="D12" s="998" t="s">
        <v>938</v>
      </c>
      <c r="E12" s="999">
        <v>7</v>
      </c>
      <c r="F12" s="659"/>
      <c r="G12" s="658">
        <f t="shared" si="19"/>
        <v>0</v>
      </c>
      <c r="H12" s="68"/>
      <c r="I12" s="654">
        <f t="shared" si="0"/>
        <v>0</v>
      </c>
      <c r="J12" s="659"/>
      <c r="K12" s="658">
        <f t="shared" si="1"/>
        <v>0</v>
      </c>
      <c r="L12" s="68"/>
      <c r="M12" s="654">
        <f t="shared" si="2"/>
        <v>0</v>
      </c>
      <c r="N12" s="659"/>
      <c r="O12" s="658">
        <f t="shared" si="3"/>
        <v>0</v>
      </c>
      <c r="P12" s="657"/>
      <c r="Q12" s="654">
        <f t="shared" si="4"/>
        <v>0</v>
      </c>
      <c r="R12" s="68"/>
      <c r="S12" s="631">
        <f t="shared" si="5"/>
        <v>0</v>
      </c>
      <c r="T12" s="68"/>
      <c r="U12" s="631">
        <f t="shared" si="6"/>
        <v>0</v>
      </c>
      <c r="V12" s="659"/>
      <c r="W12" s="636">
        <f t="shared" si="7"/>
        <v>0</v>
      </c>
      <c r="X12" s="68"/>
      <c r="Y12" s="631">
        <f t="shared" si="8"/>
        <v>0</v>
      </c>
      <c r="Z12" s="659"/>
      <c r="AA12" s="636">
        <f t="shared" si="9"/>
        <v>0</v>
      </c>
      <c r="AB12" s="68"/>
      <c r="AC12" s="631">
        <f t="shared" si="10"/>
        <v>0</v>
      </c>
      <c r="AD12" s="660">
        <f>'Commande Alimentaire'!D22</f>
        <v>3.16</v>
      </c>
      <c r="AE12" s="639">
        <f t="shared" si="20"/>
        <v>3.7920000000000003</v>
      </c>
      <c r="AF12" s="1237"/>
      <c r="AG12" s="662">
        <f t="shared" si="12"/>
        <v>3.84</v>
      </c>
      <c r="AH12" s="663">
        <f t="shared" si="13"/>
        <v>0</v>
      </c>
      <c r="AI12" s="664">
        <f t="shared" si="14"/>
        <v>0</v>
      </c>
      <c r="AJ12" s="665">
        <f t="shared" si="15"/>
        <v>0</v>
      </c>
      <c r="AK12" s="1528">
        <v>18</v>
      </c>
      <c r="AL12" s="667"/>
      <c r="AM12" s="647">
        <f t="shared" si="16"/>
        <v>18</v>
      </c>
      <c r="AN12" s="669">
        <f>AL12-AM12</f>
        <v>-18</v>
      </c>
      <c r="AO12" s="670">
        <f>AJ12-AN12</f>
        <v>18</v>
      </c>
      <c r="AP12" s="1528"/>
    </row>
    <row r="13" spans="1:42" ht="20.25">
      <c r="A13" s="1529"/>
      <c r="B13" s="1530" t="s">
        <v>939</v>
      </c>
      <c r="C13" s="1526"/>
      <c r="D13" s="998" t="s">
        <v>940</v>
      </c>
      <c r="E13" s="999">
        <v>7</v>
      </c>
      <c r="F13" s="659"/>
      <c r="G13" s="658">
        <f t="shared" si="19"/>
        <v>0</v>
      </c>
      <c r="H13" s="68"/>
      <c r="I13" s="654">
        <f t="shared" si="0"/>
        <v>0</v>
      </c>
      <c r="J13" s="659"/>
      <c r="K13" s="658">
        <f t="shared" si="1"/>
        <v>0</v>
      </c>
      <c r="L13" s="68"/>
      <c r="M13" s="654">
        <f t="shared" si="2"/>
        <v>0</v>
      </c>
      <c r="N13" s="659"/>
      <c r="O13" s="658">
        <f t="shared" si="3"/>
        <v>0</v>
      </c>
      <c r="P13" s="657"/>
      <c r="Q13" s="654">
        <f t="shared" si="4"/>
        <v>0</v>
      </c>
      <c r="R13" s="68"/>
      <c r="S13" s="631">
        <f t="shared" si="5"/>
        <v>0</v>
      </c>
      <c r="T13" s="68"/>
      <c r="U13" s="631">
        <f t="shared" si="6"/>
        <v>0</v>
      </c>
      <c r="V13" s="659"/>
      <c r="W13" s="636">
        <f t="shared" si="7"/>
        <v>0</v>
      </c>
      <c r="X13" s="68"/>
      <c r="Y13" s="631">
        <f t="shared" si="8"/>
        <v>0</v>
      </c>
      <c r="Z13" s="659"/>
      <c r="AA13" s="636">
        <f t="shared" si="9"/>
        <v>0</v>
      </c>
      <c r="AB13" s="68"/>
      <c r="AC13" s="631">
        <f t="shared" si="10"/>
        <v>0</v>
      </c>
      <c r="AD13" s="660">
        <f>'Commande Alimentaire'!D25</f>
        <v>2.8107</v>
      </c>
      <c r="AE13" s="639">
        <f t="shared" si="20"/>
        <v>3.37284</v>
      </c>
      <c r="AF13" s="1237"/>
      <c r="AG13" s="662">
        <f t="shared" si="12"/>
        <v>4.189299999999999</v>
      </c>
      <c r="AH13" s="663">
        <f t="shared" si="13"/>
        <v>0</v>
      </c>
      <c r="AI13" s="664">
        <f t="shared" si="14"/>
        <v>0</v>
      </c>
      <c r="AJ13" s="665">
        <f t="shared" si="15"/>
        <v>0</v>
      </c>
      <c r="AK13" s="1528">
        <v>16</v>
      </c>
      <c r="AL13" s="667"/>
      <c r="AM13" s="647">
        <f t="shared" si="16"/>
        <v>16</v>
      </c>
      <c r="AN13" s="669"/>
      <c r="AO13" s="670"/>
      <c r="AP13" s="1528"/>
    </row>
    <row r="14" spans="1:42" ht="20.25">
      <c r="A14" s="1529"/>
      <c r="B14" s="1530" t="s">
        <v>941</v>
      </c>
      <c r="C14" s="1023" t="s">
        <v>643</v>
      </c>
      <c r="D14" s="1039" t="s">
        <v>942</v>
      </c>
      <c r="E14" s="1011">
        <v>15</v>
      </c>
      <c r="F14" s="706"/>
      <c r="G14" s="705">
        <f>F14*E14</f>
        <v>0</v>
      </c>
      <c r="H14" s="703"/>
      <c r="I14" s="700">
        <f t="shared" si="0"/>
        <v>0</v>
      </c>
      <c r="J14" s="706"/>
      <c r="K14" s="705">
        <f t="shared" si="1"/>
        <v>0</v>
      </c>
      <c r="L14" s="703">
        <v>1</v>
      </c>
      <c r="M14" s="700">
        <f t="shared" si="2"/>
        <v>15</v>
      </c>
      <c r="N14" s="706"/>
      <c r="O14" s="705">
        <f t="shared" si="3"/>
        <v>0</v>
      </c>
      <c r="P14" s="704"/>
      <c r="Q14" s="700">
        <f t="shared" si="4"/>
        <v>0</v>
      </c>
      <c r="R14" s="703"/>
      <c r="S14" s="700">
        <f t="shared" si="5"/>
        <v>0</v>
      </c>
      <c r="T14" s="703"/>
      <c r="U14" s="700">
        <f t="shared" si="6"/>
        <v>0</v>
      </c>
      <c r="V14" s="706"/>
      <c r="W14" s="705">
        <f t="shared" si="7"/>
        <v>0</v>
      </c>
      <c r="X14" s="703"/>
      <c r="Y14" s="700">
        <f t="shared" si="8"/>
        <v>0</v>
      </c>
      <c r="Z14" s="706"/>
      <c r="AA14" s="705">
        <f t="shared" si="9"/>
        <v>0</v>
      </c>
      <c r="AB14" s="703"/>
      <c r="AC14" s="700">
        <f t="shared" si="10"/>
        <v>0</v>
      </c>
      <c r="AD14" s="707">
        <f>'Commande Alimentaire'!D55</f>
        <v>10</v>
      </c>
      <c r="AE14" s="708">
        <f t="shared" si="20"/>
        <v>12</v>
      </c>
      <c r="AF14" s="1534">
        <v>0.2</v>
      </c>
      <c r="AG14" s="709"/>
      <c r="AH14" s="710"/>
      <c r="AI14" s="711">
        <f t="shared" si="14"/>
        <v>15</v>
      </c>
      <c r="AJ14" s="712">
        <f t="shared" si="15"/>
        <v>1</v>
      </c>
      <c r="AK14" s="1528">
        <v>18</v>
      </c>
      <c r="AL14" s="737"/>
      <c r="AM14" s="738"/>
      <c r="AN14" s="1535"/>
      <c r="AO14" s="748"/>
      <c r="AP14" s="1528"/>
    </row>
    <row r="15" spans="1:42" ht="21.75" customHeight="1">
      <c r="A15" s="1529"/>
      <c r="B15" s="1530" t="s">
        <v>943</v>
      </c>
      <c r="C15" s="1134" t="s">
        <v>944</v>
      </c>
      <c r="D15" s="998" t="s">
        <v>945</v>
      </c>
      <c r="E15" s="999">
        <v>10</v>
      </c>
      <c r="F15" s="659"/>
      <c r="G15" s="658">
        <f>E15*F15</f>
        <v>0</v>
      </c>
      <c r="H15" s="68"/>
      <c r="I15" s="654">
        <f t="shared" si="0"/>
        <v>0</v>
      </c>
      <c r="J15" s="659"/>
      <c r="K15" s="658">
        <f t="shared" si="1"/>
        <v>0</v>
      </c>
      <c r="L15" s="68"/>
      <c r="M15" s="654">
        <f t="shared" si="2"/>
        <v>0</v>
      </c>
      <c r="N15" s="659"/>
      <c r="O15" s="658">
        <f t="shared" si="3"/>
        <v>0</v>
      </c>
      <c r="P15" s="657"/>
      <c r="Q15" s="654">
        <f t="shared" si="4"/>
        <v>0</v>
      </c>
      <c r="R15" s="68"/>
      <c r="S15" s="654">
        <f t="shared" si="5"/>
        <v>0</v>
      </c>
      <c r="T15" s="68"/>
      <c r="U15" s="654">
        <f t="shared" si="6"/>
        <v>0</v>
      </c>
      <c r="V15" s="659"/>
      <c r="W15" s="658">
        <f t="shared" si="7"/>
        <v>0</v>
      </c>
      <c r="X15" s="68"/>
      <c r="Y15" s="654">
        <f t="shared" si="8"/>
        <v>0</v>
      </c>
      <c r="Z15" s="659"/>
      <c r="AA15" s="658">
        <f t="shared" si="9"/>
        <v>0</v>
      </c>
      <c r="AB15" s="68"/>
      <c r="AC15" s="654">
        <f t="shared" si="10"/>
        <v>0</v>
      </c>
      <c r="AD15" s="660">
        <f>'Commande Alimentaire'!D39</f>
        <v>6.67</v>
      </c>
      <c r="AE15" s="708">
        <f t="shared" si="20"/>
        <v>8.004</v>
      </c>
      <c r="AF15" s="1237"/>
      <c r="AG15" s="662">
        <f aca="true" t="shared" si="21" ref="AG15:AG25">E15-AD15</f>
        <v>3.33</v>
      </c>
      <c r="AH15" s="663">
        <f aca="true" t="shared" si="22" ref="AH15:AH25">AG15*AJ15</f>
        <v>0</v>
      </c>
      <c r="AI15" s="664">
        <f t="shared" si="14"/>
        <v>0</v>
      </c>
      <c r="AJ15" s="665">
        <f t="shared" si="15"/>
        <v>0</v>
      </c>
      <c r="AK15" s="1528">
        <v>16</v>
      </c>
      <c r="AL15" s="1536"/>
      <c r="AM15" s="647"/>
      <c r="AN15" s="809"/>
      <c r="AO15" s="810"/>
      <c r="AP15" s="1528"/>
    </row>
    <row r="16" spans="1:42" ht="20.25">
      <c r="A16" s="1529"/>
      <c r="B16" s="1530" t="s">
        <v>946</v>
      </c>
      <c r="C16" s="1134"/>
      <c r="D16" s="1021" t="s">
        <v>947</v>
      </c>
      <c r="E16" s="1011">
        <v>10</v>
      </c>
      <c r="F16" s="706"/>
      <c r="G16" s="705">
        <f>F16*E16</f>
        <v>0</v>
      </c>
      <c r="H16" s="703"/>
      <c r="I16" s="700">
        <f t="shared" si="0"/>
        <v>0</v>
      </c>
      <c r="J16" s="706"/>
      <c r="K16" s="705">
        <f t="shared" si="1"/>
        <v>0</v>
      </c>
      <c r="L16" s="703"/>
      <c r="M16" s="700">
        <f t="shared" si="2"/>
        <v>0</v>
      </c>
      <c r="N16" s="706"/>
      <c r="O16" s="705">
        <f t="shared" si="3"/>
        <v>0</v>
      </c>
      <c r="P16" s="704"/>
      <c r="Q16" s="700">
        <f t="shared" si="4"/>
        <v>0</v>
      </c>
      <c r="R16" s="703"/>
      <c r="S16" s="700">
        <f t="shared" si="5"/>
        <v>0</v>
      </c>
      <c r="T16" s="703"/>
      <c r="U16" s="700">
        <f t="shared" si="6"/>
        <v>0</v>
      </c>
      <c r="V16" s="706"/>
      <c r="W16" s="705">
        <f t="shared" si="7"/>
        <v>0</v>
      </c>
      <c r="X16" s="703"/>
      <c r="Y16" s="700">
        <f t="shared" si="8"/>
        <v>0</v>
      </c>
      <c r="Z16" s="706"/>
      <c r="AA16" s="705">
        <f t="shared" si="9"/>
        <v>0</v>
      </c>
      <c r="AB16" s="703"/>
      <c r="AC16" s="700">
        <f t="shared" si="10"/>
        <v>0</v>
      </c>
      <c r="AD16" s="707">
        <f>'Commande Alimentaire'!D40</f>
        <v>6.67</v>
      </c>
      <c r="AE16" s="708">
        <f t="shared" si="20"/>
        <v>8.004</v>
      </c>
      <c r="AF16" s="1237"/>
      <c r="AG16" s="709">
        <f t="shared" si="21"/>
        <v>3.33</v>
      </c>
      <c r="AH16" s="710">
        <f t="shared" si="22"/>
        <v>0</v>
      </c>
      <c r="AI16" s="711">
        <f t="shared" si="14"/>
        <v>0</v>
      </c>
      <c r="AJ16" s="712">
        <f t="shared" si="15"/>
        <v>0</v>
      </c>
      <c r="AK16" s="1528">
        <v>15</v>
      </c>
      <c r="AL16" s="1536"/>
      <c r="AM16" s="647">
        <f>AK16+AL16</f>
        <v>15</v>
      </c>
      <c r="AN16" s="809"/>
      <c r="AO16" s="810"/>
      <c r="AP16" s="1528"/>
    </row>
    <row r="17" spans="1:42" ht="21.75" customHeight="1">
      <c r="A17" s="1529"/>
      <c r="B17" s="1530" t="s">
        <v>948</v>
      </c>
      <c r="C17" s="1286" t="s">
        <v>786</v>
      </c>
      <c r="D17" s="1287" t="s">
        <v>787</v>
      </c>
      <c r="E17" s="986">
        <v>3.7</v>
      </c>
      <c r="F17" s="637"/>
      <c r="G17" s="636">
        <f aca="true" t="shared" si="23" ref="G17:G23">E17*F17</f>
        <v>0</v>
      </c>
      <c r="H17" s="634"/>
      <c r="I17" s="631">
        <f t="shared" si="0"/>
        <v>0</v>
      </c>
      <c r="J17" s="637"/>
      <c r="K17" s="636">
        <f t="shared" si="1"/>
        <v>0</v>
      </c>
      <c r="L17" s="634"/>
      <c r="M17" s="631">
        <f t="shared" si="2"/>
        <v>0</v>
      </c>
      <c r="N17" s="637"/>
      <c r="O17" s="636">
        <f t="shared" si="3"/>
        <v>0</v>
      </c>
      <c r="P17" s="635"/>
      <c r="Q17" s="631">
        <f t="shared" si="4"/>
        <v>0</v>
      </c>
      <c r="R17" s="634"/>
      <c r="S17" s="631">
        <f t="shared" si="5"/>
        <v>0</v>
      </c>
      <c r="T17" s="634"/>
      <c r="U17" s="631">
        <f t="shared" si="6"/>
        <v>0</v>
      </c>
      <c r="V17" s="637"/>
      <c r="W17" s="636">
        <f t="shared" si="7"/>
        <v>0</v>
      </c>
      <c r="X17" s="634"/>
      <c r="Y17" s="631">
        <f t="shared" si="8"/>
        <v>0</v>
      </c>
      <c r="Z17" s="637"/>
      <c r="AA17" s="636">
        <f t="shared" si="9"/>
        <v>0</v>
      </c>
      <c r="AB17" s="634"/>
      <c r="AC17" s="631">
        <f t="shared" si="10"/>
        <v>0</v>
      </c>
      <c r="AD17" s="638">
        <f>'[1]Commande Alimentaire'!E58</f>
        <v>2.124</v>
      </c>
      <c r="AE17" s="639"/>
      <c r="AF17" s="1283">
        <v>0.2</v>
      </c>
      <c r="AG17" s="641">
        <f t="shared" si="21"/>
        <v>1.576</v>
      </c>
      <c r="AH17" s="642">
        <f t="shared" si="22"/>
        <v>0</v>
      </c>
      <c r="AI17" s="643">
        <f t="shared" si="14"/>
        <v>0</v>
      </c>
      <c r="AJ17" s="644">
        <f t="shared" si="15"/>
        <v>0</v>
      </c>
      <c r="AK17" s="1528">
        <v>9</v>
      </c>
      <c r="AL17" s="737"/>
      <c r="AM17" s="746"/>
      <c r="AN17" s="747"/>
      <c r="AO17" s="748"/>
      <c r="AP17" s="1528"/>
    </row>
    <row r="18" spans="1:42" ht="21.75">
      <c r="A18" s="1529"/>
      <c r="B18" s="1530" t="s">
        <v>949</v>
      </c>
      <c r="C18" s="1286"/>
      <c r="D18" s="525" t="s">
        <v>788</v>
      </c>
      <c r="E18" s="999">
        <v>3.7</v>
      </c>
      <c r="F18" s="659"/>
      <c r="G18" s="658">
        <f t="shared" si="23"/>
        <v>0</v>
      </c>
      <c r="H18" s="68"/>
      <c r="I18" s="654">
        <f t="shared" si="0"/>
        <v>0</v>
      </c>
      <c r="J18" s="659"/>
      <c r="K18" s="658">
        <f t="shared" si="1"/>
        <v>0</v>
      </c>
      <c r="L18" s="68"/>
      <c r="M18" s="654">
        <f t="shared" si="2"/>
        <v>0</v>
      </c>
      <c r="N18" s="659"/>
      <c r="O18" s="658">
        <f t="shared" si="3"/>
        <v>0</v>
      </c>
      <c r="P18" s="657"/>
      <c r="Q18" s="654">
        <f t="shared" si="4"/>
        <v>0</v>
      </c>
      <c r="R18" s="68"/>
      <c r="S18" s="631">
        <f t="shared" si="5"/>
        <v>0</v>
      </c>
      <c r="T18" s="68"/>
      <c r="U18" s="631">
        <f t="shared" si="6"/>
        <v>0</v>
      </c>
      <c r="V18" s="659"/>
      <c r="W18" s="636">
        <f t="shared" si="7"/>
        <v>0</v>
      </c>
      <c r="X18" s="68"/>
      <c r="Y18" s="631">
        <f t="shared" si="8"/>
        <v>0</v>
      </c>
      <c r="Z18" s="659"/>
      <c r="AA18" s="636">
        <f t="shared" si="9"/>
        <v>0</v>
      </c>
      <c r="AB18" s="68"/>
      <c r="AC18" s="631">
        <f t="shared" si="10"/>
        <v>0</v>
      </c>
      <c r="AD18" s="660">
        <f>'[1]Commande Alimentaire'!E59</f>
        <v>2.148</v>
      </c>
      <c r="AE18" s="661"/>
      <c r="AF18" s="1237"/>
      <c r="AG18" s="662">
        <f t="shared" si="21"/>
        <v>1.552</v>
      </c>
      <c r="AH18" s="663">
        <f t="shared" si="22"/>
        <v>0</v>
      </c>
      <c r="AI18" s="664">
        <f t="shared" si="14"/>
        <v>0</v>
      </c>
      <c r="AJ18" s="665">
        <f t="shared" si="15"/>
        <v>0</v>
      </c>
      <c r="AK18" s="1528">
        <v>12</v>
      </c>
      <c r="AL18" s="737"/>
      <c r="AM18" s="746"/>
      <c r="AN18" s="747"/>
      <c r="AO18" s="748"/>
      <c r="AP18" s="1528"/>
    </row>
    <row r="19" spans="1:42" ht="21.75">
      <c r="A19" s="1529"/>
      <c r="B19" s="1530" t="s">
        <v>950</v>
      </c>
      <c r="C19" s="1286"/>
      <c r="D19" s="525" t="s">
        <v>789</v>
      </c>
      <c r="E19" s="999">
        <v>3.7</v>
      </c>
      <c r="F19" s="659"/>
      <c r="G19" s="658">
        <f t="shared" si="23"/>
        <v>0</v>
      </c>
      <c r="H19" s="68"/>
      <c r="I19" s="654">
        <f t="shared" si="0"/>
        <v>0</v>
      </c>
      <c r="J19" s="659"/>
      <c r="K19" s="658">
        <f t="shared" si="1"/>
        <v>0</v>
      </c>
      <c r="L19" s="68"/>
      <c r="M19" s="654">
        <f t="shared" si="2"/>
        <v>0</v>
      </c>
      <c r="N19" s="659"/>
      <c r="O19" s="658">
        <f t="shared" si="3"/>
        <v>0</v>
      </c>
      <c r="P19" s="657"/>
      <c r="Q19" s="654">
        <f t="shared" si="4"/>
        <v>0</v>
      </c>
      <c r="R19" s="68"/>
      <c r="S19" s="631">
        <f t="shared" si="5"/>
        <v>0</v>
      </c>
      <c r="T19" s="68"/>
      <c r="U19" s="631">
        <f t="shared" si="6"/>
        <v>0</v>
      </c>
      <c r="V19" s="659"/>
      <c r="W19" s="636">
        <f t="shared" si="7"/>
        <v>0</v>
      </c>
      <c r="X19" s="68"/>
      <c r="Y19" s="631">
        <f t="shared" si="8"/>
        <v>0</v>
      </c>
      <c r="Z19" s="659"/>
      <c r="AA19" s="636">
        <f t="shared" si="9"/>
        <v>0</v>
      </c>
      <c r="AB19" s="68"/>
      <c r="AC19" s="631">
        <f t="shared" si="10"/>
        <v>0</v>
      </c>
      <c r="AD19" s="660">
        <f>'[1]Commande Alimentaire'!E60</f>
        <v>2.28</v>
      </c>
      <c r="AE19" s="661"/>
      <c r="AF19" s="1237"/>
      <c r="AG19" s="662">
        <f t="shared" si="21"/>
        <v>1.4200000000000004</v>
      </c>
      <c r="AH19" s="663">
        <f t="shared" si="22"/>
        <v>0</v>
      </c>
      <c r="AI19" s="664">
        <f t="shared" si="14"/>
        <v>0</v>
      </c>
      <c r="AJ19" s="665">
        <f t="shared" si="15"/>
        <v>0</v>
      </c>
      <c r="AK19" s="1528">
        <v>0</v>
      </c>
      <c r="AL19" s="737"/>
      <c r="AM19" s="746"/>
      <c r="AN19" s="747"/>
      <c r="AO19" s="748"/>
      <c r="AP19" s="1528"/>
    </row>
    <row r="20" spans="1:42" ht="21.75">
      <c r="A20" s="1529"/>
      <c r="B20" s="1530" t="s">
        <v>951</v>
      </c>
      <c r="C20" s="1286"/>
      <c r="D20" s="525" t="s">
        <v>790</v>
      </c>
      <c r="E20" s="999">
        <v>3.7</v>
      </c>
      <c r="F20" s="659"/>
      <c r="G20" s="658">
        <f t="shared" si="23"/>
        <v>0</v>
      </c>
      <c r="H20" s="68"/>
      <c r="I20" s="654">
        <f t="shared" si="0"/>
        <v>0</v>
      </c>
      <c r="J20" s="659"/>
      <c r="K20" s="658">
        <f t="shared" si="1"/>
        <v>0</v>
      </c>
      <c r="L20" s="68"/>
      <c r="M20" s="654">
        <f t="shared" si="2"/>
        <v>0</v>
      </c>
      <c r="N20" s="659"/>
      <c r="O20" s="658">
        <f t="shared" si="3"/>
        <v>0</v>
      </c>
      <c r="P20" s="657"/>
      <c r="Q20" s="654">
        <f t="shared" si="4"/>
        <v>0</v>
      </c>
      <c r="R20" s="68"/>
      <c r="S20" s="631">
        <f t="shared" si="5"/>
        <v>0</v>
      </c>
      <c r="T20" s="68"/>
      <c r="U20" s="631">
        <f t="shared" si="6"/>
        <v>0</v>
      </c>
      <c r="V20" s="659"/>
      <c r="W20" s="636">
        <f t="shared" si="7"/>
        <v>0</v>
      </c>
      <c r="X20" s="68"/>
      <c r="Y20" s="631">
        <f t="shared" si="8"/>
        <v>0</v>
      </c>
      <c r="Z20" s="659"/>
      <c r="AA20" s="636">
        <f t="shared" si="9"/>
        <v>0</v>
      </c>
      <c r="AB20" s="68"/>
      <c r="AC20" s="631">
        <f t="shared" si="10"/>
        <v>0</v>
      </c>
      <c r="AD20" s="660">
        <f>'[1]Commande Alimentaire'!E61</f>
        <v>2.244</v>
      </c>
      <c r="AE20" s="661"/>
      <c r="AF20" s="1237"/>
      <c r="AG20" s="662">
        <f t="shared" si="21"/>
        <v>1.456</v>
      </c>
      <c r="AH20" s="663">
        <f t="shared" si="22"/>
        <v>0</v>
      </c>
      <c r="AI20" s="664">
        <f t="shared" si="14"/>
        <v>0</v>
      </c>
      <c r="AJ20" s="665">
        <f t="shared" si="15"/>
        <v>0</v>
      </c>
      <c r="AK20" s="1528">
        <v>10</v>
      </c>
      <c r="AL20" s="737"/>
      <c r="AM20" s="746"/>
      <c r="AN20" s="747"/>
      <c r="AO20" s="748"/>
      <c r="AP20" s="1528"/>
    </row>
    <row r="21" spans="1:42" ht="21.75">
      <c r="A21" s="1529"/>
      <c r="B21" s="1530" t="s">
        <v>952</v>
      </c>
      <c r="C21" s="1286"/>
      <c r="D21" s="525" t="s">
        <v>791</v>
      </c>
      <c r="E21" s="999">
        <v>3.7</v>
      </c>
      <c r="F21" s="659"/>
      <c r="G21" s="658">
        <f t="shared" si="23"/>
        <v>0</v>
      </c>
      <c r="H21" s="68"/>
      <c r="I21" s="654">
        <f t="shared" si="0"/>
        <v>0</v>
      </c>
      <c r="J21" s="659"/>
      <c r="K21" s="658">
        <f t="shared" si="1"/>
        <v>0</v>
      </c>
      <c r="L21" s="68"/>
      <c r="M21" s="654">
        <f t="shared" si="2"/>
        <v>0</v>
      </c>
      <c r="N21" s="659"/>
      <c r="O21" s="658">
        <f t="shared" si="3"/>
        <v>0</v>
      </c>
      <c r="P21" s="657"/>
      <c r="Q21" s="654">
        <f t="shared" si="4"/>
        <v>0</v>
      </c>
      <c r="R21" s="68"/>
      <c r="S21" s="631">
        <f t="shared" si="5"/>
        <v>0</v>
      </c>
      <c r="T21" s="68"/>
      <c r="U21" s="631">
        <f t="shared" si="6"/>
        <v>0</v>
      </c>
      <c r="V21" s="659"/>
      <c r="W21" s="636">
        <f t="shared" si="7"/>
        <v>0</v>
      </c>
      <c r="X21" s="68"/>
      <c r="Y21" s="631">
        <f t="shared" si="8"/>
        <v>0</v>
      </c>
      <c r="Z21" s="659"/>
      <c r="AA21" s="636">
        <f t="shared" si="9"/>
        <v>0</v>
      </c>
      <c r="AB21" s="68"/>
      <c r="AC21" s="631">
        <f t="shared" si="10"/>
        <v>0</v>
      </c>
      <c r="AD21" s="660">
        <f>'[1]Commande Alimentaire'!E62</f>
        <v>2.148</v>
      </c>
      <c r="AE21" s="661"/>
      <c r="AF21" s="1237"/>
      <c r="AG21" s="662">
        <f t="shared" si="21"/>
        <v>1.552</v>
      </c>
      <c r="AH21" s="663">
        <f t="shared" si="22"/>
        <v>0</v>
      </c>
      <c r="AI21" s="664">
        <f t="shared" si="14"/>
        <v>0</v>
      </c>
      <c r="AJ21" s="665">
        <f t="shared" si="15"/>
        <v>0</v>
      </c>
      <c r="AK21" s="1528">
        <v>8</v>
      </c>
      <c r="AL21" s="737"/>
      <c r="AM21" s="746"/>
      <c r="AN21" s="747"/>
      <c r="AO21" s="748"/>
      <c r="AP21" s="1528"/>
    </row>
    <row r="22" spans="1:42" ht="20.25">
      <c r="A22" s="1529"/>
      <c r="B22" s="1530" t="s">
        <v>953</v>
      </c>
      <c r="C22" s="1286"/>
      <c r="D22" s="525" t="s">
        <v>954</v>
      </c>
      <c r="E22" s="999">
        <v>19</v>
      </c>
      <c r="F22" s="659"/>
      <c r="G22" s="658">
        <f t="shared" si="23"/>
        <v>0</v>
      </c>
      <c r="H22" s="68"/>
      <c r="I22" s="654">
        <f t="shared" si="0"/>
        <v>0</v>
      </c>
      <c r="J22" s="659"/>
      <c r="K22" s="658">
        <f t="shared" si="1"/>
        <v>0</v>
      </c>
      <c r="L22" s="68"/>
      <c r="M22" s="654">
        <f t="shared" si="2"/>
        <v>0</v>
      </c>
      <c r="N22" s="659"/>
      <c r="O22" s="658">
        <f t="shared" si="3"/>
        <v>0</v>
      </c>
      <c r="P22" s="657"/>
      <c r="Q22" s="654">
        <f t="shared" si="4"/>
        <v>0</v>
      </c>
      <c r="R22" s="68"/>
      <c r="S22" s="631">
        <f t="shared" si="5"/>
        <v>0</v>
      </c>
      <c r="T22" s="68"/>
      <c r="U22" s="631">
        <f t="shared" si="6"/>
        <v>0</v>
      </c>
      <c r="V22" s="659"/>
      <c r="W22" s="636">
        <f t="shared" si="7"/>
        <v>0</v>
      </c>
      <c r="X22" s="68"/>
      <c r="Y22" s="631">
        <f t="shared" si="8"/>
        <v>0</v>
      </c>
      <c r="Z22" s="659"/>
      <c r="AA22" s="636">
        <f t="shared" si="9"/>
        <v>0</v>
      </c>
      <c r="AB22" s="68"/>
      <c r="AC22" s="631">
        <f t="shared" si="10"/>
        <v>0</v>
      </c>
      <c r="AD22" s="660">
        <f>'[1]Commande Alimentaire'!E67</f>
        <v>16.5</v>
      </c>
      <c r="AE22" s="661"/>
      <c r="AF22" s="1237"/>
      <c r="AG22" s="662">
        <f t="shared" si="21"/>
        <v>2.5</v>
      </c>
      <c r="AH22" s="663">
        <f t="shared" si="22"/>
        <v>0</v>
      </c>
      <c r="AI22" s="664">
        <f t="shared" si="14"/>
        <v>0</v>
      </c>
      <c r="AJ22" s="665">
        <f t="shared" si="15"/>
        <v>0</v>
      </c>
      <c r="AK22" s="1528">
        <v>3</v>
      </c>
      <c r="AL22" s="737"/>
      <c r="AM22" s="746"/>
      <c r="AN22" s="747"/>
      <c r="AO22" s="748"/>
      <c r="AP22" s="1528"/>
    </row>
    <row r="23" spans="1:42" ht="20.25">
      <c r="A23" s="1529"/>
      <c r="B23" s="1530" t="s">
        <v>955</v>
      </c>
      <c r="C23" s="1286"/>
      <c r="D23" s="525" t="s">
        <v>956</v>
      </c>
      <c r="E23" s="999">
        <v>7.2</v>
      </c>
      <c r="F23" s="659"/>
      <c r="G23" s="658">
        <f t="shared" si="23"/>
        <v>0</v>
      </c>
      <c r="H23" s="68"/>
      <c r="I23" s="654">
        <f t="shared" si="0"/>
        <v>0</v>
      </c>
      <c r="J23" s="659"/>
      <c r="K23" s="658">
        <f t="shared" si="1"/>
        <v>0</v>
      </c>
      <c r="L23" s="68">
        <v>2</v>
      </c>
      <c r="M23" s="654">
        <f t="shared" si="2"/>
        <v>14.4</v>
      </c>
      <c r="N23" s="659"/>
      <c r="O23" s="658">
        <f t="shared" si="3"/>
        <v>0</v>
      </c>
      <c r="P23" s="657"/>
      <c r="Q23" s="654">
        <f t="shared" si="4"/>
        <v>0</v>
      </c>
      <c r="R23" s="68"/>
      <c r="S23" s="631">
        <f t="shared" si="5"/>
        <v>0</v>
      </c>
      <c r="T23" s="68"/>
      <c r="U23" s="631">
        <f t="shared" si="6"/>
        <v>0</v>
      </c>
      <c r="V23" s="659"/>
      <c r="W23" s="636">
        <f t="shared" si="7"/>
        <v>0</v>
      </c>
      <c r="X23" s="68"/>
      <c r="Y23" s="631">
        <f t="shared" si="8"/>
        <v>0</v>
      </c>
      <c r="Z23" s="659"/>
      <c r="AA23" s="636">
        <f t="shared" si="9"/>
        <v>0</v>
      </c>
      <c r="AB23" s="68"/>
      <c r="AC23" s="631">
        <f t="shared" si="10"/>
        <v>0</v>
      </c>
      <c r="AD23" s="660">
        <f>'[1]Commande Alimentaire'!E68</f>
        <v>5.76</v>
      </c>
      <c r="AE23" s="661"/>
      <c r="AF23" s="1537"/>
      <c r="AG23" s="662">
        <f t="shared" si="21"/>
        <v>1.4400000000000004</v>
      </c>
      <c r="AH23" s="663">
        <f t="shared" si="22"/>
        <v>2.880000000000001</v>
      </c>
      <c r="AI23" s="664">
        <f t="shared" si="14"/>
        <v>14.4</v>
      </c>
      <c r="AJ23" s="665">
        <f t="shared" si="15"/>
        <v>2</v>
      </c>
      <c r="AK23" s="1528">
        <v>12</v>
      </c>
      <c r="AL23" s="737"/>
      <c r="AM23" s="746"/>
      <c r="AN23" s="747"/>
      <c r="AO23" s="748"/>
      <c r="AP23" s="1528"/>
    </row>
    <row r="24" spans="1:42" ht="20.25">
      <c r="A24" s="1529"/>
      <c r="B24" s="1530" t="s">
        <v>957</v>
      </c>
      <c r="C24" s="1134" t="s">
        <v>654</v>
      </c>
      <c r="D24" s="1135" t="s">
        <v>958</v>
      </c>
      <c r="E24" s="1136">
        <v>7.5</v>
      </c>
      <c r="F24" s="884"/>
      <c r="G24" s="883"/>
      <c r="H24" s="881"/>
      <c r="I24" s="878">
        <f t="shared" si="0"/>
        <v>0</v>
      </c>
      <c r="J24" s="884"/>
      <c r="K24" s="883">
        <f t="shared" si="1"/>
        <v>0</v>
      </c>
      <c r="L24" s="881"/>
      <c r="M24" s="878">
        <f t="shared" si="2"/>
        <v>0</v>
      </c>
      <c r="N24" s="884"/>
      <c r="O24" s="883">
        <f t="shared" si="3"/>
        <v>0</v>
      </c>
      <c r="P24" s="882"/>
      <c r="Q24" s="878"/>
      <c r="R24" s="881"/>
      <c r="S24" s="878">
        <f t="shared" si="5"/>
        <v>0</v>
      </c>
      <c r="T24" s="881"/>
      <c r="U24" s="878">
        <f t="shared" si="6"/>
        <v>0</v>
      </c>
      <c r="V24" s="884"/>
      <c r="W24" s="883">
        <f t="shared" si="7"/>
        <v>0</v>
      </c>
      <c r="X24" s="881"/>
      <c r="Y24" s="878"/>
      <c r="Z24" s="884"/>
      <c r="AA24" s="883">
        <f t="shared" si="9"/>
        <v>0</v>
      </c>
      <c r="AB24" s="881"/>
      <c r="AC24" s="878">
        <f t="shared" si="10"/>
        <v>0</v>
      </c>
      <c r="AD24" s="885">
        <v>6</v>
      </c>
      <c r="AE24" s="886">
        <f aca="true" t="shared" si="24" ref="AE24:AE25">(AD24*20)/100+AD24</f>
        <v>7.2</v>
      </c>
      <c r="AF24" s="1237"/>
      <c r="AG24" s="709">
        <f t="shared" si="21"/>
        <v>1.5</v>
      </c>
      <c r="AH24" s="710">
        <f t="shared" si="22"/>
        <v>0</v>
      </c>
      <c r="AI24" s="711">
        <f t="shared" si="14"/>
        <v>0</v>
      </c>
      <c r="AJ24" s="712">
        <f t="shared" si="15"/>
        <v>0</v>
      </c>
      <c r="AK24" s="1528">
        <v>10</v>
      </c>
      <c r="AL24" s="787"/>
      <c r="AM24" s="754"/>
      <c r="AN24" s="1538"/>
      <c r="AO24" s="740"/>
      <c r="AP24" s="1528"/>
    </row>
    <row r="25" spans="1:42" ht="20.25">
      <c r="A25" s="1529"/>
      <c r="B25" s="1530" t="s">
        <v>959</v>
      </c>
      <c r="C25" s="1138" t="s">
        <v>656</v>
      </c>
      <c r="D25" s="1139" t="s">
        <v>657</v>
      </c>
      <c r="E25" s="1140">
        <v>9.9</v>
      </c>
      <c r="F25" s="843"/>
      <c r="G25" s="842">
        <f aca="true" t="shared" si="25" ref="G25:G31">F25*E25</f>
        <v>0</v>
      </c>
      <c r="H25" s="153"/>
      <c r="I25" s="750">
        <f t="shared" si="0"/>
        <v>0</v>
      </c>
      <c r="J25" s="843"/>
      <c r="K25" s="842">
        <f t="shared" si="1"/>
        <v>0</v>
      </c>
      <c r="L25" s="153"/>
      <c r="M25" s="750">
        <f t="shared" si="2"/>
        <v>0</v>
      </c>
      <c r="N25" s="843"/>
      <c r="O25" s="842">
        <f t="shared" si="3"/>
        <v>0</v>
      </c>
      <c r="P25" s="841"/>
      <c r="Q25" s="750">
        <f aca="true" t="shared" si="26" ref="Q25:Q116">P25*E25</f>
        <v>0</v>
      </c>
      <c r="R25" s="153"/>
      <c r="S25" s="750">
        <f t="shared" si="5"/>
        <v>0</v>
      </c>
      <c r="T25" s="153"/>
      <c r="U25" s="750">
        <f t="shared" si="6"/>
        <v>0</v>
      </c>
      <c r="V25" s="843"/>
      <c r="W25" s="842">
        <f t="shared" si="7"/>
        <v>0</v>
      </c>
      <c r="X25" s="153"/>
      <c r="Y25" s="750">
        <f aca="true" t="shared" si="27" ref="Y25:Y116">X25*E25</f>
        <v>0</v>
      </c>
      <c r="Z25" s="843"/>
      <c r="AA25" s="842">
        <f t="shared" si="9"/>
        <v>0</v>
      </c>
      <c r="AB25" s="153"/>
      <c r="AC25" s="750">
        <f t="shared" si="10"/>
        <v>0</v>
      </c>
      <c r="AD25" s="844">
        <f>'Commande Alimentaire'!D42</f>
        <v>6.5</v>
      </c>
      <c r="AE25" s="796">
        <f t="shared" si="24"/>
        <v>7.8</v>
      </c>
      <c r="AF25" s="1237"/>
      <c r="AG25" s="751">
        <f t="shared" si="21"/>
        <v>3.4000000000000004</v>
      </c>
      <c r="AH25" s="752">
        <f t="shared" si="22"/>
        <v>0</v>
      </c>
      <c r="AI25" s="847">
        <f t="shared" si="14"/>
        <v>0</v>
      </c>
      <c r="AJ25" s="848">
        <f t="shared" si="15"/>
        <v>0</v>
      </c>
      <c r="AK25" s="1528">
        <v>14</v>
      </c>
      <c r="AL25" s="787"/>
      <c r="AM25" s="754"/>
      <c r="AN25" s="1538"/>
      <c r="AO25" s="740"/>
      <c r="AP25" s="1528"/>
    </row>
    <row r="26" spans="1:37" ht="21">
      <c r="A26" s="1529"/>
      <c r="B26" s="1530" t="s">
        <v>960</v>
      </c>
      <c r="C26" s="1539" t="s">
        <v>827</v>
      </c>
      <c r="D26" s="1540" t="s">
        <v>828</v>
      </c>
      <c r="E26" s="1541">
        <v>4</v>
      </c>
      <c r="F26" s="1349"/>
      <c r="G26" s="1350">
        <f t="shared" si="25"/>
        <v>0</v>
      </c>
      <c r="H26" s="1349"/>
      <c r="I26" s="1350">
        <f t="shared" si="0"/>
        <v>0</v>
      </c>
      <c r="J26" s="1349"/>
      <c r="K26" s="1350">
        <f t="shared" si="1"/>
        <v>0</v>
      </c>
      <c r="L26" s="1349"/>
      <c r="M26" s="1350">
        <f t="shared" si="2"/>
        <v>0</v>
      </c>
      <c r="N26" s="1349"/>
      <c r="O26" s="1350">
        <f t="shared" si="3"/>
        <v>0</v>
      </c>
      <c r="P26" s="1349"/>
      <c r="Q26" s="1350">
        <f t="shared" si="26"/>
        <v>0</v>
      </c>
      <c r="R26" s="1349"/>
      <c r="S26" s="1351">
        <f t="shared" si="5"/>
        <v>0</v>
      </c>
      <c r="T26" s="1349"/>
      <c r="U26" s="1350">
        <f t="shared" si="6"/>
        <v>0</v>
      </c>
      <c r="V26" s="1352"/>
      <c r="W26" s="1351">
        <f t="shared" si="7"/>
        <v>0</v>
      </c>
      <c r="X26" s="1349"/>
      <c r="Y26" s="1350">
        <f t="shared" si="27"/>
        <v>0</v>
      </c>
      <c r="Z26" s="1352"/>
      <c r="AA26" s="1351">
        <f t="shared" si="9"/>
        <v>0</v>
      </c>
      <c r="AB26" s="1349"/>
      <c r="AC26" s="1350">
        <f t="shared" si="10"/>
        <v>0</v>
      </c>
      <c r="AD26" s="1353"/>
      <c r="AE26" s="1372">
        <v>0.055</v>
      </c>
      <c r="AF26" s="1206"/>
      <c r="AG26" s="1355"/>
      <c r="AH26" s="1356">
        <f aca="true" t="shared" si="28" ref="AH26:AH31">AC26+AA26+Y26+W26+U26+S26+Q26+O26+M26+K26+I26+G26</f>
        <v>0</v>
      </c>
      <c r="AI26" s="804">
        <f aca="true" t="shared" si="29" ref="AI26:AI31">AB26+Z26+X26+V26+T26+R26+P26+N26+L26+J26+H26+F26</f>
        <v>0</v>
      </c>
      <c r="AJ26" s="848"/>
      <c r="AK26" s="1358">
        <v>3</v>
      </c>
    </row>
    <row r="27" spans="1:37" ht="20.25">
      <c r="A27" s="1529"/>
      <c r="B27" s="1530" t="s">
        <v>961</v>
      </c>
      <c r="C27" s="1542"/>
      <c r="D27" s="1543" t="s">
        <v>831</v>
      </c>
      <c r="E27" s="1544">
        <v>4.15</v>
      </c>
      <c r="F27" s="1374"/>
      <c r="G27" s="1375">
        <f t="shared" si="25"/>
        <v>0</v>
      </c>
      <c r="H27" s="1361"/>
      <c r="I27" s="1375">
        <f t="shared" si="0"/>
        <v>0</v>
      </c>
      <c r="J27" s="1361"/>
      <c r="K27" s="1375">
        <f t="shared" si="1"/>
        <v>0</v>
      </c>
      <c r="L27" s="1361"/>
      <c r="M27" s="1375">
        <f t="shared" si="2"/>
        <v>0</v>
      </c>
      <c r="N27" s="1361"/>
      <c r="O27" s="1375">
        <f t="shared" si="3"/>
        <v>0</v>
      </c>
      <c r="P27" s="1361"/>
      <c r="Q27" s="1375">
        <f t="shared" si="26"/>
        <v>0</v>
      </c>
      <c r="R27" s="1361"/>
      <c r="S27" s="1376">
        <f t="shared" si="5"/>
        <v>0</v>
      </c>
      <c r="T27" s="1361"/>
      <c r="U27" s="1375">
        <f t="shared" si="6"/>
        <v>0</v>
      </c>
      <c r="V27" s="1364"/>
      <c r="W27" s="1376">
        <f t="shared" si="7"/>
        <v>0</v>
      </c>
      <c r="X27" s="1361"/>
      <c r="Y27" s="1375">
        <f t="shared" si="27"/>
        <v>0</v>
      </c>
      <c r="Z27" s="1364"/>
      <c r="AA27" s="1376">
        <f t="shared" si="9"/>
        <v>0</v>
      </c>
      <c r="AB27" s="1361"/>
      <c r="AC27" s="1375">
        <f t="shared" si="10"/>
        <v>0</v>
      </c>
      <c r="AD27" s="1365"/>
      <c r="AE27" s="1545">
        <v>0.2</v>
      </c>
      <c r="AF27" s="662"/>
      <c r="AG27" s="663"/>
      <c r="AH27" s="664">
        <f t="shared" si="28"/>
        <v>0</v>
      </c>
      <c r="AI27" s="665">
        <f t="shared" si="29"/>
        <v>0</v>
      </c>
      <c r="AJ27" s="848"/>
      <c r="AK27" s="1358">
        <v>0</v>
      </c>
    </row>
    <row r="28" spans="1:38" ht="20.25">
      <c r="A28" s="1529"/>
      <c r="B28" s="1530" t="s">
        <v>962</v>
      </c>
      <c r="C28" s="1542"/>
      <c r="D28" s="1543" t="s">
        <v>122</v>
      </c>
      <c r="E28" s="1544">
        <v>4.55</v>
      </c>
      <c r="F28" s="1378"/>
      <c r="G28" s="1362">
        <f t="shared" si="25"/>
        <v>0</v>
      </c>
      <c r="H28" s="1361"/>
      <c r="I28" s="1362">
        <f t="shared" si="0"/>
        <v>0</v>
      </c>
      <c r="J28" s="1361"/>
      <c r="K28" s="1362">
        <f t="shared" si="1"/>
        <v>0</v>
      </c>
      <c r="L28" s="1361"/>
      <c r="M28" s="1362">
        <f t="shared" si="2"/>
        <v>0</v>
      </c>
      <c r="N28" s="1361"/>
      <c r="O28" s="1362">
        <f t="shared" si="3"/>
        <v>0</v>
      </c>
      <c r="P28" s="1361"/>
      <c r="Q28" s="1362">
        <f t="shared" si="26"/>
        <v>0</v>
      </c>
      <c r="R28" s="1361"/>
      <c r="S28" s="1363">
        <f t="shared" si="5"/>
        <v>0</v>
      </c>
      <c r="T28" s="1361"/>
      <c r="U28" s="1362">
        <f t="shared" si="6"/>
        <v>0</v>
      </c>
      <c r="V28" s="1364"/>
      <c r="W28" s="1363">
        <f t="shared" si="7"/>
        <v>0</v>
      </c>
      <c r="X28" s="1361"/>
      <c r="Y28" s="1362">
        <f t="shared" si="27"/>
        <v>0</v>
      </c>
      <c r="Z28" s="1364"/>
      <c r="AA28" s="1363">
        <f t="shared" si="9"/>
        <v>0</v>
      </c>
      <c r="AB28" s="1361"/>
      <c r="AC28" s="1362">
        <f t="shared" si="10"/>
        <v>0</v>
      </c>
      <c r="AD28" s="1365"/>
      <c r="AE28" s="1546"/>
      <c r="AF28" s="662"/>
      <c r="AG28" s="663"/>
      <c r="AH28" s="664">
        <f t="shared" si="28"/>
        <v>0</v>
      </c>
      <c r="AI28" s="665">
        <f t="shared" si="29"/>
        <v>0</v>
      </c>
      <c r="AJ28" s="848"/>
      <c r="AK28" s="1358">
        <v>2</v>
      </c>
      <c r="AL28" t="s">
        <v>832</v>
      </c>
    </row>
    <row r="29" spans="1:38" ht="20.25">
      <c r="A29" s="1529"/>
      <c r="B29" s="1530" t="s">
        <v>963</v>
      </c>
      <c r="C29" s="1547"/>
      <c r="D29" s="1548" t="s">
        <v>123</v>
      </c>
      <c r="E29" s="1549">
        <v>3.65</v>
      </c>
      <c r="F29" s="1378"/>
      <c r="G29" s="1362">
        <f t="shared" si="25"/>
        <v>0</v>
      </c>
      <c r="H29" s="1361"/>
      <c r="I29" s="1362">
        <f t="shared" si="0"/>
        <v>0</v>
      </c>
      <c r="J29" s="1361"/>
      <c r="K29" s="1362">
        <f t="shared" si="1"/>
        <v>0</v>
      </c>
      <c r="L29" s="1361"/>
      <c r="M29" s="1362">
        <f t="shared" si="2"/>
        <v>0</v>
      </c>
      <c r="N29" s="1361"/>
      <c r="O29" s="1362">
        <f t="shared" si="3"/>
        <v>0</v>
      </c>
      <c r="P29" s="1361"/>
      <c r="Q29" s="1362">
        <f t="shared" si="26"/>
        <v>0</v>
      </c>
      <c r="R29" s="1361"/>
      <c r="S29" s="1363">
        <f t="shared" si="5"/>
        <v>0</v>
      </c>
      <c r="T29" s="1361"/>
      <c r="U29" s="1362">
        <f t="shared" si="6"/>
        <v>0</v>
      </c>
      <c r="V29" s="1364"/>
      <c r="W29" s="1363">
        <f t="shared" si="7"/>
        <v>0</v>
      </c>
      <c r="X29" s="1361"/>
      <c r="Y29" s="1362">
        <f t="shared" si="27"/>
        <v>0</v>
      </c>
      <c r="Z29" s="1364"/>
      <c r="AA29" s="1363">
        <f t="shared" si="9"/>
        <v>0</v>
      </c>
      <c r="AB29" s="1361"/>
      <c r="AC29" s="1362">
        <f t="shared" si="10"/>
        <v>0</v>
      </c>
      <c r="AD29" s="1365"/>
      <c r="AE29" s="1550"/>
      <c r="AF29" s="662"/>
      <c r="AG29" s="663"/>
      <c r="AH29" s="664">
        <f t="shared" si="28"/>
        <v>0</v>
      </c>
      <c r="AI29" s="665">
        <f t="shared" si="29"/>
        <v>0</v>
      </c>
      <c r="AJ29" s="848"/>
      <c r="AK29" s="1358">
        <v>2</v>
      </c>
      <c r="AL29" t="s">
        <v>832</v>
      </c>
    </row>
    <row r="30" spans="1:37" ht="21">
      <c r="A30" s="1529"/>
      <c r="B30" s="1530" t="s">
        <v>964</v>
      </c>
      <c r="C30" s="1547"/>
      <c r="D30" s="263" t="s">
        <v>124</v>
      </c>
      <c r="E30" s="1549">
        <v>4.15</v>
      </c>
      <c r="F30" s="1378"/>
      <c r="G30" s="1362">
        <f t="shared" si="25"/>
        <v>0</v>
      </c>
      <c r="H30" s="1361"/>
      <c r="I30" s="1362">
        <f t="shared" si="0"/>
        <v>0</v>
      </c>
      <c r="J30" s="1361"/>
      <c r="K30" s="1362">
        <f t="shared" si="1"/>
        <v>0</v>
      </c>
      <c r="L30" s="1361"/>
      <c r="M30" s="1362">
        <f t="shared" si="2"/>
        <v>0</v>
      </c>
      <c r="N30" s="1361"/>
      <c r="O30" s="1362">
        <f t="shared" si="3"/>
        <v>0</v>
      </c>
      <c r="P30" s="1361"/>
      <c r="Q30" s="1362">
        <f t="shared" si="26"/>
        <v>0</v>
      </c>
      <c r="R30" s="1361"/>
      <c r="S30" s="1363">
        <f t="shared" si="5"/>
        <v>0</v>
      </c>
      <c r="T30" s="1361"/>
      <c r="U30" s="1362">
        <f t="shared" si="6"/>
        <v>0</v>
      </c>
      <c r="V30" s="1364"/>
      <c r="W30" s="1363">
        <f t="shared" si="7"/>
        <v>0</v>
      </c>
      <c r="X30" s="1361"/>
      <c r="Y30" s="1362">
        <f t="shared" si="27"/>
        <v>0</v>
      </c>
      <c r="Z30" s="1364"/>
      <c r="AA30" s="1363">
        <f t="shared" si="9"/>
        <v>0</v>
      </c>
      <c r="AB30" s="1361"/>
      <c r="AC30" s="1362">
        <f t="shared" si="10"/>
        <v>0</v>
      </c>
      <c r="AD30" s="1365"/>
      <c r="AE30" s="1551"/>
      <c r="AF30" s="662"/>
      <c r="AG30" s="663"/>
      <c r="AH30" s="664">
        <f t="shared" si="28"/>
        <v>0</v>
      </c>
      <c r="AI30" s="665">
        <f t="shared" si="29"/>
        <v>0</v>
      </c>
      <c r="AJ30" s="848"/>
      <c r="AK30" s="1358">
        <v>3</v>
      </c>
    </row>
    <row r="31" spans="1:37" ht="21">
      <c r="A31" s="1529"/>
      <c r="B31" s="1530" t="s">
        <v>965</v>
      </c>
      <c r="C31" s="1552"/>
      <c r="D31" s="281" t="s">
        <v>125</v>
      </c>
      <c r="E31" s="1553">
        <v>4.15</v>
      </c>
      <c r="F31" s="1382"/>
      <c r="G31" s="1367">
        <f t="shared" si="25"/>
        <v>0</v>
      </c>
      <c r="H31" s="1366"/>
      <c r="I31" s="1367">
        <f t="shared" si="0"/>
        <v>0</v>
      </c>
      <c r="J31" s="1366"/>
      <c r="K31" s="1367">
        <f t="shared" si="1"/>
        <v>0</v>
      </c>
      <c r="L31" s="1366"/>
      <c r="M31" s="1367">
        <f t="shared" si="2"/>
        <v>0</v>
      </c>
      <c r="N31" s="1366"/>
      <c r="O31" s="1367">
        <f t="shared" si="3"/>
        <v>0</v>
      </c>
      <c r="P31" s="1366"/>
      <c r="Q31" s="1367">
        <f t="shared" si="26"/>
        <v>0</v>
      </c>
      <c r="R31" s="1366"/>
      <c r="S31" s="1368">
        <f t="shared" si="5"/>
        <v>0</v>
      </c>
      <c r="T31" s="1366"/>
      <c r="U31" s="1367">
        <f t="shared" si="6"/>
        <v>0</v>
      </c>
      <c r="V31" s="1369"/>
      <c r="W31" s="1368">
        <f t="shared" si="7"/>
        <v>0</v>
      </c>
      <c r="X31" s="1366"/>
      <c r="Y31" s="1367">
        <f t="shared" si="27"/>
        <v>0</v>
      </c>
      <c r="Z31" s="1369"/>
      <c r="AA31" s="1368">
        <f t="shared" si="9"/>
        <v>0</v>
      </c>
      <c r="AB31" s="1366"/>
      <c r="AC31" s="1367">
        <f t="shared" si="10"/>
        <v>0</v>
      </c>
      <c r="AD31" s="1370"/>
      <c r="AE31" s="1551"/>
      <c r="AF31" s="1080"/>
      <c r="AG31" s="902"/>
      <c r="AH31" s="914">
        <f t="shared" si="28"/>
        <v>0</v>
      </c>
      <c r="AI31" s="915">
        <f t="shared" si="29"/>
        <v>0</v>
      </c>
      <c r="AJ31" s="848"/>
      <c r="AK31" s="1358">
        <v>3</v>
      </c>
    </row>
    <row r="32" spans="1:42" ht="21.75">
      <c r="A32" s="1529"/>
      <c r="B32" s="1530" t="s">
        <v>966</v>
      </c>
      <c r="C32" s="1554" t="s">
        <v>109</v>
      </c>
      <c r="D32" s="1159" t="s">
        <v>110</v>
      </c>
      <c r="E32" s="999">
        <v>3.8</v>
      </c>
      <c r="F32" s="659"/>
      <c r="G32" s="658">
        <f aca="true" t="shared" si="30" ref="G32:G116">E32*F32</f>
        <v>0</v>
      </c>
      <c r="H32" s="68"/>
      <c r="I32" s="654">
        <f t="shared" si="0"/>
        <v>0</v>
      </c>
      <c r="J32" s="659"/>
      <c r="K32" s="658">
        <f t="shared" si="1"/>
        <v>0</v>
      </c>
      <c r="L32" s="68"/>
      <c r="M32" s="654">
        <f t="shared" si="2"/>
        <v>0</v>
      </c>
      <c r="N32" s="659"/>
      <c r="O32" s="658">
        <f t="shared" si="3"/>
        <v>0</v>
      </c>
      <c r="P32" s="657"/>
      <c r="Q32" s="654">
        <f t="shared" si="26"/>
        <v>0</v>
      </c>
      <c r="R32" s="68"/>
      <c r="S32" s="654">
        <f t="shared" si="5"/>
        <v>0</v>
      </c>
      <c r="T32" s="68"/>
      <c r="U32" s="654">
        <f t="shared" si="6"/>
        <v>0</v>
      </c>
      <c r="V32" s="659"/>
      <c r="W32" s="658">
        <f t="shared" si="7"/>
        <v>0</v>
      </c>
      <c r="X32" s="68"/>
      <c r="Y32" s="654">
        <f t="shared" si="27"/>
        <v>0</v>
      </c>
      <c r="Z32" s="659"/>
      <c r="AA32" s="658">
        <f t="shared" si="9"/>
        <v>0</v>
      </c>
      <c r="AB32" s="68"/>
      <c r="AC32" s="654">
        <f t="shared" si="10"/>
        <v>0</v>
      </c>
      <c r="AD32" s="660">
        <v>2.8</v>
      </c>
      <c r="AE32" s="661"/>
      <c r="AF32" s="1237"/>
      <c r="AG32" s="662">
        <f aca="true" t="shared" si="31" ref="AG32:AG34">E32-AD32</f>
        <v>1</v>
      </c>
      <c r="AH32" s="663">
        <f aca="true" t="shared" si="32" ref="AH32:AH34">AG32*AJ32</f>
        <v>0</v>
      </c>
      <c r="AI32" s="664">
        <f aca="true" t="shared" si="33" ref="AI32:AI45">SUM(AC32+AA32+Y32+W32+U32+S32+Q32+O32+M32+K32+I32+G32)</f>
        <v>0</v>
      </c>
      <c r="AJ32" s="665">
        <f aca="true" t="shared" si="34" ref="AJ32:AJ50">SUM(F32+H32+J32+L32+N32+P32+R32+T32+V32+X32+Z32+AB32)</f>
        <v>0</v>
      </c>
      <c r="AK32" s="1528">
        <v>9</v>
      </c>
      <c r="AL32" s="737"/>
      <c r="AM32" s="746"/>
      <c r="AN32" s="747"/>
      <c r="AO32" s="748"/>
      <c r="AP32" s="1528"/>
    </row>
    <row r="33" spans="1:42" ht="24" customHeight="1">
      <c r="A33" s="1555"/>
      <c r="B33" s="1530" t="s">
        <v>967</v>
      </c>
      <c r="C33" s="1556" t="s">
        <v>460</v>
      </c>
      <c r="D33" s="432" t="s">
        <v>461</v>
      </c>
      <c r="E33" s="1136">
        <v>7</v>
      </c>
      <c r="F33" s="884"/>
      <c r="G33" s="883">
        <f t="shared" si="30"/>
        <v>0</v>
      </c>
      <c r="H33" s="881"/>
      <c r="I33" s="878">
        <f t="shared" si="0"/>
        <v>0</v>
      </c>
      <c r="J33" s="884"/>
      <c r="K33" s="883">
        <f t="shared" si="1"/>
        <v>0</v>
      </c>
      <c r="L33" s="881"/>
      <c r="M33" s="878">
        <f t="shared" si="2"/>
        <v>0</v>
      </c>
      <c r="N33" s="884"/>
      <c r="O33" s="883">
        <f t="shared" si="3"/>
        <v>0</v>
      </c>
      <c r="P33" s="882"/>
      <c r="Q33" s="878">
        <f t="shared" si="26"/>
        <v>0</v>
      </c>
      <c r="R33" s="881"/>
      <c r="S33" s="878">
        <f t="shared" si="5"/>
        <v>0</v>
      </c>
      <c r="T33" s="881"/>
      <c r="U33" s="878">
        <f t="shared" si="6"/>
        <v>0</v>
      </c>
      <c r="V33" s="884"/>
      <c r="W33" s="883">
        <f t="shared" si="7"/>
        <v>0</v>
      </c>
      <c r="X33" s="881"/>
      <c r="Y33" s="878">
        <f t="shared" si="27"/>
        <v>0</v>
      </c>
      <c r="Z33" s="884"/>
      <c r="AA33" s="883">
        <f t="shared" si="9"/>
        <v>0</v>
      </c>
      <c r="AB33" s="881"/>
      <c r="AC33" s="878">
        <f t="shared" si="10"/>
        <v>0</v>
      </c>
      <c r="AD33" s="885">
        <f>'[1]Commande Souvenirs, librairie'!G134</f>
        <v>6.9</v>
      </c>
      <c r="AE33" s="886"/>
      <c r="AF33" s="1277">
        <v>0.2</v>
      </c>
      <c r="AG33" s="887">
        <f t="shared" si="31"/>
        <v>0.09999999999999964</v>
      </c>
      <c r="AH33" s="888">
        <f t="shared" si="32"/>
        <v>0</v>
      </c>
      <c r="AI33" s="889">
        <f t="shared" si="33"/>
        <v>0</v>
      </c>
      <c r="AJ33" s="890">
        <f t="shared" si="34"/>
        <v>0</v>
      </c>
      <c r="AK33" s="1528">
        <v>5</v>
      </c>
      <c r="AL33" s="737"/>
      <c r="AM33" s="746"/>
      <c r="AN33" s="747"/>
      <c r="AO33" s="748"/>
      <c r="AP33" s="1528"/>
    </row>
    <row r="34" spans="1:43" ht="21.75">
      <c r="A34" s="1557"/>
      <c r="B34" s="1530" t="s">
        <v>968</v>
      </c>
      <c r="C34" s="1558" t="s">
        <v>969</v>
      </c>
      <c r="D34" s="1162" t="s">
        <v>776</v>
      </c>
      <c r="E34" s="1011">
        <v>17</v>
      </c>
      <c r="F34" s="706"/>
      <c r="G34" s="705">
        <f t="shared" si="30"/>
        <v>0</v>
      </c>
      <c r="H34" s="703"/>
      <c r="I34" s="700">
        <f t="shared" si="0"/>
        <v>0</v>
      </c>
      <c r="J34" s="706"/>
      <c r="K34" s="705">
        <f t="shared" si="1"/>
        <v>0</v>
      </c>
      <c r="L34" s="703"/>
      <c r="M34" s="700">
        <f t="shared" si="2"/>
        <v>0</v>
      </c>
      <c r="N34" s="706"/>
      <c r="O34" s="705">
        <f t="shared" si="3"/>
        <v>0</v>
      </c>
      <c r="P34" s="704"/>
      <c r="Q34" s="700">
        <f t="shared" si="26"/>
        <v>0</v>
      </c>
      <c r="R34" s="703"/>
      <c r="S34" s="700">
        <f t="shared" si="5"/>
        <v>0</v>
      </c>
      <c r="T34" s="703"/>
      <c r="U34" s="700">
        <f t="shared" si="6"/>
        <v>0</v>
      </c>
      <c r="V34" s="706"/>
      <c r="W34" s="705">
        <f t="shared" si="7"/>
        <v>0</v>
      </c>
      <c r="X34" s="703"/>
      <c r="Y34" s="700">
        <f t="shared" si="27"/>
        <v>0</v>
      </c>
      <c r="Z34" s="706"/>
      <c r="AA34" s="705">
        <f t="shared" si="9"/>
        <v>0</v>
      </c>
      <c r="AB34" s="703"/>
      <c r="AC34" s="700">
        <f t="shared" si="10"/>
        <v>0</v>
      </c>
      <c r="AD34" s="707">
        <f>'[1]Commande Alimentaire'!E51</f>
        <v>13.76</v>
      </c>
      <c r="AE34" s="708"/>
      <c r="AF34" s="1121"/>
      <c r="AG34" s="709">
        <f t="shared" si="31"/>
        <v>3.24</v>
      </c>
      <c r="AH34" s="710">
        <f t="shared" si="32"/>
        <v>0</v>
      </c>
      <c r="AI34" s="711">
        <f t="shared" si="33"/>
        <v>0</v>
      </c>
      <c r="AJ34" s="712">
        <f t="shared" si="34"/>
        <v>0</v>
      </c>
      <c r="AK34" s="1528">
        <v>2</v>
      </c>
      <c r="AL34" s="737"/>
      <c r="AM34" s="746"/>
      <c r="AN34" s="747"/>
      <c r="AO34" s="748"/>
      <c r="AP34" s="1528"/>
      <c r="AQ34" t="s">
        <v>777</v>
      </c>
    </row>
    <row r="35" spans="1:42" ht="21.75">
      <c r="A35" s="1559"/>
      <c r="B35" s="1530" t="s">
        <v>970</v>
      </c>
      <c r="C35" s="1192" t="s">
        <v>971</v>
      </c>
      <c r="D35" s="1161" t="s">
        <v>683</v>
      </c>
      <c r="E35" s="999">
        <v>12</v>
      </c>
      <c r="F35" s="659"/>
      <c r="G35" s="658">
        <f t="shared" si="30"/>
        <v>0</v>
      </c>
      <c r="H35" s="68"/>
      <c r="I35" s="654">
        <f t="shared" si="0"/>
        <v>0</v>
      </c>
      <c r="J35" s="659"/>
      <c r="K35" s="658">
        <f t="shared" si="1"/>
        <v>0</v>
      </c>
      <c r="L35" s="68"/>
      <c r="M35" s="654">
        <f t="shared" si="2"/>
        <v>0</v>
      </c>
      <c r="N35" s="659"/>
      <c r="O35" s="658">
        <f t="shared" si="3"/>
        <v>0</v>
      </c>
      <c r="P35" s="657"/>
      <c r="Q35" s="654">
        <f t="shared" si="26"/>
        <v>0</v>
      </c>
      <c r="R35" s="68"/>
      <c r="S35" s="654">
        <f t="shared" si="5"/>
        <v>0</v>
      </c>
      <c r="T35" s="68"/>
      <c r="U35" s="654">
        <f t="shared" si="6"/>
        <v>0</v>
      </c>
      <c r="V35" s="659"/>
      <c r="W35" s="658">
        <f t="shared" si="7"/>
        <v>0</v>
      </c>
      <c r="X35" s="68"/>
      <c r="Y35" s="654">
        <f t="shared" si="27"/>
        <v>0</v>
      </c>
      <c r="Z35" s="659"/>
      <c r="AA35" s="658">
        <f t="shared" si="9"/>
        <v>0</v>
      </c>
      <c r="AB35" s="68"/>
      <c r="AC35" s="654">
        <f t="shared" si="10"/>
        <v>0</v>
      </c>
      <c r="AD35" s="660"/>
      <c r="AE35" s="1002"/>
      <c r="AF35" s="1300"/>
      <c r="AG35" s="662"/>
      <c r="AH35" s="663"/>
      <c r="AI35" s="664">
        <f t="shared" si="33"/>
        <v>0</v>
      </c>
      <c r="AJ35" s="665">
        <f t="shared" si="34"/>
        <v>0</v>
      </c>
      <c r="AK35" s="1528">
        <v>3</v>
      </c>
      <c r="AL35" s="691"/>
      <c r="AM35" s="746"/>
      <c r="AN35" s="765"/>
      <c r="AO35" s="694"/>
      <c r="AP35" s="1528"/>
    </row>
    <row r="36" spans="1:42" ht="21.75">
      <c r="A36" s="1559"/>
      <c r="B36" s="1530" t="s">
        <v>972</v>
      </c>
      <c r="C36" s="1192" t="s">
        <v>971</v>
      </c>
      <c r="D36" s="1161" t="s">
        <v>682</v>
      </c>
      <c r="E36" s="999">
        <v>10</v>
      </c>
      <c r="F36" s="659"/>
      <c r="G36" s="658">
        <f t="shared" si="30"/>
        <v>0</v>
      </c>
      <c r="H36" s="68"/>
      <c r="I36" s="654">
        <f t="shared" si="0"/>
        <v>0</v>
      </c>
      <c r="J36" s="659"/>
      <c r="K36" s="658">
        <f t="shared" si="1"/>
        <v>0</v>
      </c>
      <c r="L36" s="68"/>
      <c r="M36" s="654">
        <f t="shared" si="2"/>
        <v>0</v>
      </c>
      <c r="N36" s="659"/>
      <c r="O36" s="658">
        <f t="shared" si="3"/>
        <v>0</v>
      </c>
      <c r="P36" s="657"/>
      <c r="Q36" s="654">
        <f t="shared" si="26"/>
        <v>0</v>
      </c>
      <c r="R36" s="68"/>
      <c r="S36" s="654">
        <f t="shared" si="5"/>
        <v>0</v>
      </c>
      <c r="T36" s="68"/>
      <c r="U36" s="654">
        <f t="shared" si="6"/>
        <v>0</v>
      </c>
      <c r="V36" s="659"/>
      <c r="W36" s="658">
        <f t="shared" si="7"/>
        <v>0</v>
      </c>
      <c r="X36" s="68"/>
      <c r="Y36" s="654">
        <f t="shared" si="27"/>
        <v>0</v>
      </c>
      <c r="Z36" s="659"/>
      <c r="AA36" s="658">
        <f t="shared" si="9"/>
        <v>0</v>
      </c>
      <c r="AB36" s="68"/>
      <c r="AC36" s="654">
        <f t="shared" si="10"/>
        <v>0</v>
      </c>
      <c r="AD36" s="660">
        <v>5.85</v>
      </c>
      <c r="AE36" s="1002"/>
      <c r="AF36" s="1300"/>
      <c r="AG36" s="662">
        <f aca="true" t="shared" si="35" ref="AG36:AG40">E36-AD36</f>
        <v>4.15</v>
      </c>
      <c r="AH36" s="663">
        <f aca="true" t="shared" si="36" ref="AH36:AH42">AG36*AJ36</f>
        <v>0</v>
      </c>
      <c r="AI36" s="664">
        <f t="shared" si="33"/>
        <v>0</v>
      </c>
      <c r="AJ36" s="665">
        <f t="shared" si="34"/>
        <v>0</v>
      </c>
      <c r="AK36" s="1528">
        <v>5</v>
      </c>
      <c r="AL36" s="691"/>
      <c r="AM36" s="746"/>
      <c r="AN36" s="765"/>
      <c r="AO36" s="694"/>
      <c r="AP36" s="1528"/>
    </row>
    <row r="37" spans="1:42" ht="21.75" customHeight="1">
      <c r="A37" s="1560" t="s">
        <v>205</v>
      </c>
      <c r="B37" s="1561" t="s">
        <v>973</v>
      </c>
      <c r="C37" s="984" t="s">
        <v>532</v>
      </c>
      <c r="D37" s="451" t="s">
        <v>533</v>
      </c>
      <c r="E37" s="1136">
        <v>10</v>
      </c>
      <c r="F37" s="884"/>
      <c r="G37" s="1153">
        <f t="shared" si="30"/>
        <v>0</v>
      </c>
      <c r="H37" s="881"/>
      <c r="I37" s="878">
        <f t="shared" si="0"/>
        <v>0</v>
      </c>
      <c r="J37" s="884"/>
      <c r="K37" s="883">
        <f t="shared" si="1"/>
        <v>0</v>
      </c>
      <c r="L37" s="881"/>
      <c r="M37" s="878">
        <f t="shared" si="2"/>
        <v>0</v>
      </c>
      <c r="N37" s="884"/>
      <c r="O37" s="883">
        <f t="shared" si="3"/>
        <v>0</v>
      </c>
      <c r="P37" s="882"/>
      <c r="Q37" s="878">
        <f t="shared" si="26"/>
        <v>0</v>
      </c>
      <c r="R37" s="881"/>
      <c r="S37" s="878">
        <f t="shared" si="5"/>
        <v>0</v>
      </c>
      <c r="T37" s="881"/>
      <c r="U37" s="878">
        <f t="shared" si="6"/>
        <v>0</v>
      </c>
      <c r="V37" s="884"/>
      <c r="W37" s="883">
        <f t="shared" si="7"/>
        <v>0</v>
      </c>
      <c r="X37" s="881"/>
      <c r="Y37" s="878">
        <f t="shared" si="27"/>
        <v>0</v>
      </c>
      <c r="Z37" s="884"/>
      <c r="AA37" s="883">
        <f t="shared" si="9"/>
        <v>0</v>
      </c>
      <c r="AB37" s="881"/>
      <c r="AC37" s="878">
        <f t="shared" si="10"/>
        <v>0</v>
      </c>
      <c r="AD37" s="885">
        <f>'[1]Commande Souvenirs, librairie'!F23</f>
        <v>10</v>
      </c>
      <c r="AE37" s="1154"/>
      <c r="AF37" s="1151"/>
      <c r="AG37" s="751">
        <f t="shared" si="35"/>
        <v>0</v>
      </c>
      <c r="AH37" s="752">
        <f t="shared" si="36"/>
        <v>0</v>
      </c>
      <c r="AI37" s="847">
        <f t="shared" si="33"/>
        <v>0</v>
      </c>
      <c r="AJ37" s="848">
        <f t="shared" si="34"/>
        <v>0</v>
      </c>
      <c r="AK37" s="1528">
        <v>12</v>
      </c>
      <c r="AL37" s="737"/>
      <c r="AM37" s="647">
        <f aca="true" t="shared" si="37" ref="AM37:AM38">AK37+AL37</f>
        <v>12</v>
      </c>
      <c r="AN37" s="768">
        <f aca="true" t="shared" si="38" ref="AN37:AN38">AL37-AM37</f>
        <v>-12</v>
      </c>
      <c r="AO37" s="717">
        <f aca="true" t="shared" si="39" ref="AO37:AO38">AJ37-AN37</f>
        <v>12</v>
      </c>
      <c r="AP37" s="1528"/>
    </row>
    <row r="38" spans="1:42" ht="21.75">
      <c r="A38" s="1560"/>
      <c r="B38" s="1562" t="s">
        <v>974</v>
      </c>
      <c r="C38" s="1194"/>
      <c r="D38" s="1156" t="s">
        <v>664</v>
      </c>
      <c r="E38" s="986">
        <v>4.9</v>
      </c>
      <c r="F38" s="637"/>
      <c r="G38" s="636">
        <f t="shared" si="30"/>
        <v>0</v>
      </c>
      <c r="H38" s="634"/>
      <c r="I38" s="631">
        <f t="shared" si="0"/>
        <v>0</v>
      </c>
      <c r="J38" s="637"/>
      <c r="K38" s="636">
        <f t="shared" si="1"/>
        <v>0</v>
      </c>
      <c r="L38" s="634"/>
      <c r="M38" s="631">
        <f t="shared" si="2"/>
        <v>0</v>
      </c>
      <c r="N38" s="637"/>
      <c r="O38" s="636">
        <f t="shared" si="3"/>
        <v>0</v>
      </c>
      <c r="P38" s="635"/>
      <c r="Q38" s="631">
        <f t="shared" si="26"/>
        <v>0</v>
      </c>
      <c r="R38" s="634"/>
      <c r="S38" s="631">
        <f t="shared" si="5"/>
        <v>0</v>
      </c>
      <c r="T38" s="634"/>
      <c r="U38" s="631">
        <f t="shared" si="6"/>
        <v>0</v>
      </c>
      <c r="V38" s="637"/>
      <c r="W38" s="636">
        <f t="shared" si="7"/>
        <v>0</v>
      </c>
      <c r="X38" s="634"/>
      <c r="Y38" s="631">
        <f t="shared" si="27"/>
        <v>0</v>
      </c>
      <c r="Z38" s="637"/>
      <c r="AA38" s="636">
        <f t="shared" si="9"/>
        <v>0</v>
      </c>
      <c r="AB38" s="634"/>
      <c r="AC38" s="631">
        <f t="shared" si="10"/>
        <v>0</v>
      </c>
      <c r="AD38" s="638">
        <f>'[1]Commande Souvenirs, librairie'!F36</f>
        <v>3.42</v>
      </c>
      <c r="AE38" s="989"/>
      <c r="AF38" s="1300"/>
      <c r="AG38" s="662">
        <f t="shared" si="35"/>
        <v>1.4800000000000004</v>
      </c>
      <c r="AH38" s="663">
        <f t="shared" si="36"/>
        <v>0</v>
      </c>
      <c r="AI38" s="664">
        <f t="shared" si="33"/>
        <v>0</v>
      </c>
      <c r="AJ38" s="665">
        <f t="shared" si="34"/>
        <v>0</v>
      </c>
      <c r="AK38" s="1528">
        <v>18</v>
      </c>
      <c r="AL38" s="667"/>
      <c r="AM38" s="647">
        <f t="shared" si="37"/>
        <v>18</v>
      </c>
      <c r="AN38" s="669">
        <f t="shared" si="38"/>
        <v>-18</v>
      </c>
      <c r="AO38" s="670">
        <f t="shared" si="39"/>
        <v>18</v>
      </c>
      <c r="AP38" s="1528"/>
    </row>
    <row r="39" spans="1:42" ht="21.75">
      <c r="A39" s="1560"/>
      <c r="B39" s="1562" t="s">
        <v>975</v>
      </c>
      <c r="C39" s="1192"/>
      <c r="D39" s="1159" t="s">
        <v>668</v>
      </c>
      <c r="E39" s="999">
        <v>7.5</v>
      </c>
      <c r="F39" s="659"/>
      <c r="G39" s="658">
        <f t="shared" si="30"/>
        <v>0</v>
      </c>
      <c r="H39" s="68"/>
      <c r="I39" s="654">
        <f t="shared" si="0"/>
        <v>0</v>
      </c>
      <c r="J39" s="659"/>
      <c r="K39" s="658">
        <f t="shared" si="1"/>
        <v>0</v>
      </c>
      <c r="L39" s="68"/>
      <c r="M39" s="654">
        <f t="shared" si="2"/>
        <v>0</v>
      </c>
      <c r="N39" s="659"/>
      <c r="O39" s="658">
        <f t="shared" si="3"/>
        <v>0</v>
      </c>
      <c r="P39" s="657"/>
      <c r="Q39" s="654">
        <f t="shared" si="26"/>
        <v>0</v>
      </c>
      <c r="R39" s="68"/>
      <c r="S39" s="654">
        <f t="shared" si="5"/>
        <v>0</v>
      </c>
      <c r="T39" s="68"/>
      <c r="U39" s="654">
        <f t="shared" si="6"/>
        <v>0</v>
      </c>
      <c r="V39" s="659"/>
      <c r="W39" s="658">
        <f t="shared" si="7"/>
        <v>0</v>
      </c>
      <c r="X39" s="68"/>
      <c r="Y39" s="654">
        <f t="shared" si="27"/>
        <v>0</v>
      </c>
      <c r="Z39" s="659"/>
      <c r="AA39" s="658">
        <f t="shared" si="9"/>
        <v>0</v>
      </c>
      <c r="AB39" s="68"/>
      <c r="AC39" s="654">
        <f t="shared" si="10"/>
        <v>0</v>
      </c>
      <c r="AD39" s="660">
        <f>'[1]Commande Souvenirs, librairie'!F42</f>
        <v>3.6</v>
      </c>
      <c r="AE39" s="1002"/>
      <c r="AF39" s="1300"/>
      <c r="AG39" s="662">
        <f t="shared" si="35"/>
        <v>3.9</v>
      </c>
      <c r="AH39" s="663">
        <f t="shared" si="36"/>
        <v>0</v>
      </c>
      <c r="AI39" s="664">
        <f t="shared" si="33"/>
        <v>0</v>
      </c>
      <c r="AJ39" s="665">
        <f t="shared" si="34"/>
        <v>0</v>
      </c>
      <c r="AK39" s="1528">
        <v>10</v>
      </c>
      <c r="AL39" s="667"/>
      <c r="AM39" s="647"/>
      <c r="AN39" s="669"/>
      <c r="AO39" s="670"/>
      <c r="AP39" s="1528"/>
    </row>
    <row r="40" spans="1:42" ht="21.75">
      <c r="A40" s="1560"/>
      <c r="B40" s="1562" t="s">
        <v>976</v>
      </c>
      <c r="C40" s="1192"/>
      <c r="D40" s="1159" t="s">
        <v>675</v>
      </c>
      <c r="E40" s="999">
        <v>7.9</v>
      </c>
      <c r="F40" s="659"/>
      <c r="G40" s="658">
        <f t="shared" si="30"/>
        <v>0</v>
      </c>
      <c r="H40" s="68"/>
      <c r="I40" s="654">
        <f t="shared" si="0"/>
        <v>0</v>
      </c>
      <c r="J40" s="659"/>
      <c r="K40" s="658">
        <f t="shared" si="1"/>
        <v>0</v>
      </c>
      <c r="L40" s="68"/>
      <c r="M40" s="654">
        <f t="shared" si="2"/>
        <v>0</v>
      </c>
      <c r="N40" s="659"/>
      <c r="O40" s="658">
        <f t="shared" si="3"/>
        <v>0</v>
      </c>
      <c r="P40" s="657"/>
      <c r="Q40" s="654">
        <f t="shared" si="26"/>
        <v>0</v>
      </c>
      <c r="R40" s="68"/>
      <c r="S40" s="654">
        <f t="shared" si="5"/>
        <v>0</v>
      </c>
      <c r="T40" s="68"/>
      <c r="U40" s="654">
        <f t="shared" si="6"/>
        <v>0</v>
      </c>
      <c r="V40" s="659"/>
      <c r="W40" s="658">
        <f t="shared" si="7"/>
        <v>0</v>
      </c>
      <c r="X40" s="68"/>
      <c r="Y40" s="654">
        <f t="shared" si="27"/>
        <v>0</v>
      </c>
      <c r="Z40" s="659"/>
      <c r="AA40" s="658">
        <f t="shared" si="9"/>
        <v>0</v>
      </c>
      <c r="AB40" s="68"/>
      <c r="AC40" s="654">
        <f t="shared" si="10"/>
        <v>0</v>
      </c>
      <c r="AD40" s="660">
        <f>'[1]Commande Souvenirs, librairie'!F156</f>
        <v>5.808000000000001</v>
      </c>
      <c r="AE40" s="1002"/>
      <c r="AF40" s="1300"/>
      <c r="AG40" s="662">
        <f t="shared" si="35"/>
        <v>2.0919999999999996</v>
      </c>
      <c r="AH40" s="663">
        <f t="shared" si="36"/>
        <v>0</v>
      </c>
      <c r="AI40" s="664">
        <f t="shared" si="33"/>
        <v>0</v>
      </c>
      <c r="AJ40" s="665">
        <f t="shared" si="34"/>
        <v>0</v>
      </c>
      <c r="AK40" s="1528">
        <v>149</v>
      </c>
      <c r="AL40" s="767"/>
      <c r="AM40" s="647">
        <f>AK40+AL40</f>
        <v>149</v>
      </c>
      <c r="AN40" s="669">
        <f>AL40-AM40</f>
        <v>-149</v>
      </c>
      <c r="AO40" s="670"/>
      <c r="AP40" s="1528"/>
    </row>
    <row r="41" spans="1:42" ht="21.75">
      <c r="A41" s="1560"/>
      <c r="B41" s="1562" t="s">
        <v>977</v>
      </c>
      <c r="C41" s="1192"/>
      <c r="D41" s="1159" t="s">
        <v>676</v>
      </c>
      <c r="E41" s="999">
        <v>13.9</v>
      </c>
      <c r="F41" s="659"/>
      <c r="G41" s="658">
        <f t="shared" si="30"/>
        <v>0</v>
      </c>
      <c r="H41" s="68"/>
      <c r="I41" s="654">
        <f t="shared" si="0"/>
        <v>0</v>
      </c>
      <c r="J41" s="659"/>
      <c r="K41" s="658">
        <f t="shared" si="1"/>
        <v>0</v>
      </c>
      <c r="L41" s="68"/>
      <c r="M41" s="654">
        <f t="shared" si="2"/>
        <v>0</v>
      </c>
      <c r="N41" s="659"/>
      <c r="O41" s="658">
        <f t="shared" si="3"/>
        <v>0</v>
      </c>
      <c r="P41" s="657"/>
      <c r="Q41" s="654">
        <f t="shared" si="26"/>
        <v>0</v>
      </c>
      <c r="R41" s="68"/>
      <c r="S41" s="654">
        <f t="shared" si="5"/>
        <v>0</v>
      </c>
      <c r="T41" s="68"/>
      <c r="U41" s="654">
        <f t="shared" si="6"/>
        <v>0</v>
      </c>
      <c r="V41" s="659"/>
      <c r="W41" s="658">
        <f t="shared" si="7"/>
        <v>0</v>
      </c>
      <c r="X41" s="68"/>
      <c r="Y41" s="654">
        <f t="shared" si="27"/>
        <v>0</v>
      </c>
      <c r="Z41" s="659"/>
      <c r="AA41" s="658">
        <f t="shared" si="9"/>
        <v>0</v>
      </c>
      <c r="AB41" s="68"/>
      <c r="AC41" s="654">
        <f t="shared" si="10"/>
        <v>0</v>
      </c>
      <c r="AD41" s="660">
        <v>5.81</v>
      </c>
      <c r="AE41" s="1002"/>
      <c r="AF41" s="1300"/>
      <c r="AG41" s="662">
        <v>2.09</v>
      </c>
      <c r="AH41" s="663">
        <f t="shared" si="36"/>
        <v>0</v>
      </c>
      <c r="AI41" s="664">
        <f t="shared" si="33"/>
        <v>0</v>
      </c>
      <c r="AJ41" s="665">
        <f t="shared" si="34"/>
        <v>0</v>
      </c>
      <c r="AK41" s="1528">
        <v>41</v>
      </c>
      <c r="AL41" s="767"/>
      <c r="AM41" s="647"/>
      <c r="AN41" s="765"/>
      <c r="AO41" s="694"/>
      <c r="AP41" s="1528"/>
    </row>
    <row r="42" spans="1:42" ht="21.75">
      <c r="A42" s="1560"/>
      <c r="B42" s="1562" t="s">
        <v>978</v>
      </c>
      <c r="C42" s="1192"/>
      <c r="D42" s="1159" t="s">
        <v>677</v>
      </c>
      <c r="E42" s="999">
        <v>19.9</v>
      </c>
      <c r="F42" s="659"/>
      <c r="G42" s="658">
        <f t="shared" si="30"/>
        <v>0</v>
      </c>
      <c r="H42" s="68"/>
      <c r="I42" s="654">
        <f t="shared" si="0"/>
        <v>0</v>
      </c>
      <c r="J42" s="659"/>
      <c r="K42" s="658">
        <f t="shared" si="1"/>
        <v>0</v>
      </c>
      <c r="L42" s="68"/>
      <c r="M42" s="654">
        <f t="shared" si="2"/>
        <v>0</v>
      </c>
      <c r="N42" s="659"/>
      <c r="O42" s="658">
        <f t="shared" si="3"/>
        <v>0</v>
      </c>
      <c r="P42" s="657"/>
      <c r="Q42" s="654">
        <f t="shared" si="26"/>
        <v>0</v>
      </c>
      <c r="R42" s="68"/>
      <c r="S42" s="654">
        <f t="shared" si="5"/>
        <v>0</v>
      </c>
      <c r="T42" s="68"/>
      <c r="U42" s="654">
        <f t="shared" si="6"/>
        <v>0</v>
      </c>
      <c r="V42" s="659"/>
      <c r="W42" s="658">
        <f t="shared" si="7"/>
        <v>0</v>
      </c>
      <c r="X42" s="68"/>
      <c r="Y42" s="654">
        <f t="shared" si="27"/>
        <v>0</v>
      </c>
      <c r="Z42" s="659"/>
      <c r="AA42" s="658">
        <f t="shared" si="9"/>
        <v>0</v>
      </c>
      <c r="AB42" s="68"/>
      <c r="AC42" s="654">
        <f t="shared" si="10"/>
        <v>0</v>
      </c>
      <c r="AD42" s="660">
        <v>5.81</v>
      </c>
      <c r="AE42" s="1002"/>
      <c r="AF42" s="1300"/>
      <c r="AG42" s="662">
        <f>E42-AD42</f>
        <v>14.09</v>
      </c>
      <c r="AH42" s="663">
        <f t="shared" si="36"/>
        <v>0</v>
      </c>
      <c r="AI42" s="664">
        <f t="shared" si="33"/>
        <v>0</v>
      </c>
      <c r="AJ42" s="665">
        <f t="shared" si="34"/>
        <v>0</v>
      </c>
      <c r="AK42" s="1528">
        <f>16+9</f>
        <v>25</v>
      </c>
      <c r="AL42" s="767"/>
      <c r="AM42" s="647"/>
      <c r="AN42" s="765"/>
      <c r="AO42" s="694"/>
      <c r="AP42" s="1528"/>
    </row>
    <row r="43" spans="1:42" ht="21.75">
      <c r="A43" s="1560"/>
      <c r="B43" s="1562" t="s">
        <v>979</v>
      </c>
      <c r="C43" s="1192"/>
      <c r="D43" s="1159" t="s">
        <v>678</v>
      </c>
      <c r="E43" s="999">
        <v>6</v>
      </c>
      <c r="F43" s="659"/>
      <c r="G43" s="658">
        <f t="shared" si="30"/>
        <v>0</v>
      </c>
      <c r="H43" s="68"/>
      <c r="I43" s="654">
        <f t="shared" si="0"/>
        <v>0</v>
      </c>
      <c r="J43" s="659"/>
      <c r="K43" s="658">
        <f t="shared" si="1"/>
        <v>0</v>
      </c>
      <c r="L43" s="68"/>
      <c r="M43" s="654">
        <f t="shared" si="2"/>
        <v>0</v>
      </c>
      <c r="N43" s="659"/>
      <c r="O43" s="658">
        <f t="shared" si="3"/>
        <v>0</v>
      </c>
      <c r="P43" s="657"/>
      <c r="Q43" s="654">
        <f t="shared" si="26"/>
        <v>0</v>
      </c>
      <c r="R43" s="68"/>
      <c r="S43" s="654">
        <f t="shared" si="5"/>
        <v>0</v>
      </c>
      <c r="T43" s="68"/>
      <c r="U43" s="654">
        <f t="shared" si="6"/>
        <v>0</v>
      </c>
      <c r="V43" s="659"/>
      <c r="W43" s="658">
        <f t="shared" si="7"/>
        <v>0</v>
      </c>
      <c r="X43" s="68"/>
      <c r="Y43" s="654">
        <f t="shared" si="27"/>
        <v>0</v>
      </c>
      <c r="Z43" s="659"/>
      <c r="AA43" s="658">
        <f t="shared" si="9"/>
        <v>0</v>
      </c>
      <c r="AB43" s="68"/>
      <c r="AC43" s="654">
        <f t="shared" si="10"/>
        <v>0</v>
      </c>
      <c r="AD43" s="660"/>
      <c r="AE43" s="1002"/>
      <c r="AF43" s="1300"/>
      <c r="AG43" s="662"/>
      <c r="AH43" s="663"/>
      <c r="AI43" s="664">
        <f t="shared" si="33"/>
        <v>0</v>
      </c>
      <c r="AJ43" s="665">
        <f t="shared" si="34"/>
        <v>0</v>
      </c>
      <c r="AK43" s="1528">
        <v>6</v>
      </c>
      <c r="AL43" s="767"/>
      <c r="AM43" s="647"/>
      <c r="AN43" s="765"/>
      <c r="AO43" s="694"/>
      <c r="AP43" s="1528"/>
    </row>
    <row r="44" spans="1:42" ht="21.75">
      <c r="A44" s="1560"/>
      <c r="B44" s="1561" t="s">
        <v>980</v>
      </c>
      <c r="C44" s="1192"/>
      <c r="D44" s="1159" t="s">
        <v>222</v>
      </c>
      <c r="E44" s="999">
        <v>5.2</v>
      </c>
      <c r="F44" s="659"/>
      <c r="G44" s="658">
        <f t="shared" si="30"/>
        <v>0</v>
      </c>
      <c r="H44" s="68"/>
      <c r="I44" s="654">
        <f t="shared" si="0"/>
        <v>0</v>
      </c>
      <c r="J44" s="659"/>
      <c r="K44" s="658">
        <f t="shared" si="1"/>
        <v>0</v>
      </c>
      <c r="L44" s="68"/>
      <c r="M44" s="654">
        <f t="shared" si="2"/>
        <v>0</v>
      </c>
      <c r="N44" s="659"/>
      <c r="O44" s="658">
        <f t="shared" si="3"/>
        <v>0</v>
      </c>
      <c r="P44" s="657"/>
      <c r="Q44" s="654">
        <f t="shared" si="26"/>
        <v>0</v>
      </c>
      <c r="R44" s="68"/>
      <c r="S44" s="654">
        <f t="shared" si="5"/>
        <v>0</v>
      </c>
      <c r="T44" s="68"/>
      <c r="U44" s="654">
        <f t="shared" si="6"/>
        <v>0</v>
      </c>
      <c r="V44" s="659"/>
      <c r="W44" s="658">
        <f t="shared" si="7"/>
        <v>0</v>
      </c>
      <c r="X44" s="68"/>
      <c r="Y44" s="654">
        <f t="shared" si="27"/>
        <v>0</v>
      </c>
      <c r="Z44" s="659"/>
      <c r="AA44" s="658">
        <f t="shared" si="9"/>
        <v>0</v>
      </c>
      <c r="AB44" s="68"/>
      <c r="AC44" s="654">
        <f t="shared" si="10"/>
        <v>0</v>
      </c>
      <c r="AD44" s="660">
        <f>'[1]Commande Souvenirs, librairie'!F34</f>
        <v>2.9400000000000004</v>
      </c>
      <c r="AE44" s="1002"/>
      <c r="AF44" s="1300"/>
      <c r="AG44" s="662">
        <f aca="true" t="shared" si="40" ref="AG44:AG47">E44-AD44</f>
        <v>2.26</v>
      </c>
      <c r="AH44" s="663">
        <f aca="true" t="shared" si="41" ref="AH44:AH45">AG44*AJ44</f>
        <v>0</v>
      </c>
      <c r="AI44" s="664">
        <f t="shared" si="33"/>
        <v>0</v>
      </c>
      <c r="AJ44" s="665">
        <f t="shared" si="34"/>
        <v>0</v>
      </c>
      <c r="AK44" s="1528">
        <f>5+38</f>
        <v>43</v>
      </c>
      <c r="AL44" s="767"/>
      <c r="AM44" s="647"/>
      <c r="AN44" s="768"/>
      <c r="AO44" s="717"/>
      <c r="AP44" s="1528"/>
    </row>
    <row r="45" spans="1:42" ht="21.75">
      <c r="A45" s="1560"/>
      <c r="B45" s="1562" t="s">
        <v>981</v>
      </c>
      <c r="C45" s="1192"/>
      <c r="D45" s="1160" t="s">
        <v>680</v>
      </c>
      <c r="E45" s="999">
        <v>6.5</v>
      </c>
      <c r="F45" s="659"/>
      <c r="G45" s="658">
        <f t="shared" si="30"/>
        <v>0</v>
      </c>
      <c r="H45" s="68"/>
      <c r="I45" s="654">
        <f t="shared" si="0"/>
        <v>0</v>
      </c>
      <c r="J45" s="659"/>
      <c r="K45" s="658">
        <f t="shared" si="1"/>
        <v>0</v>
      </c>
      <c r="L45" s="68"/>
      <c r="M45" s="654">
        <f t="shared" si="2"/>
        <v>0</v>
      </c>
      <c r="N45" s="659"/>
      <c r="O45" s="658">
        <f t="shared" si="3"/>
        <v>0</v>
      </c>
      <c r="P45" s="657"/>
      <c r="Q45" s="654">
        <f t="shared" si="26"/>
        <v>0</v>
      </c>
      <c r="R45" s="68"/>
      <c r="S45" s="654">
        <f t="shared" si="5"/>
        <v>0</v>
      </c>
      <c r="T45" s="68"/>
      <c r="U45" s="654">
        <f t="shared" si="6"/>
        <v>0</v>
      </c>
      <c r="V45" s="659"/>
      <c r="W45" s="658">
        <f t="shared" si="7"/>
        <v>0</v>
      </c>
      <c r="X45" s="68"/>
      <c r="Y45" s="654">
        <f t="shared" si="27"/>
        <v>0</v>
      </c>
      <c r="Z45" s="659"/>
      <c r="AA45" s="658">
        <f t="shared" si="9"/>
        <v>0</v>
      </c>
      <c r="AB45" s="68"/>
      <c r="AC45" s="654">
        <f t="shared" si="10"/>
        <v>0</v>
      </c>
      <c r="AD45" s="660">
        <f>'[1]Commande Souvenirs, librairie'!F161</f>
        <v>4.19</v>
      </c>
      <c r="AE45" s="1002"/>
      <c r="AF45" s="1300"/>
      <c r="AG45" s="662">
        <f t="shared" si="40"/>
        <v>2.3099999999999996</v>
      </c>
      <c r="AH45" s="663">
        <f t="shared" si="41"/>
        <v>0</v>
      </c>
      <c r="AI45" s="664">
        <f t="shared" si="33"/>
        <v>0</v>
      </c>
      <c r="AJ45" s="665">
        <f t="shared" si="34"/>
        <v>0</v>
      </c>
      <c r="AK45" s="1528">
        <f>44+1</f>
        <v>45</v>
      </c>
      <c r="AL45" s="691"/>
      <c r="AM45" s="746"/>
      <c r="AN45" s="765"/>
      <c r="AO45" s="694"/>
      <c r="AP45" s="1528"/>
    </row>
    <row r="46" spans="1:42" ht="21.75">
      <c r="A46" s="1560"/>
      <c r="B46" s="1562" t="s">
        <v>982</v>
      </c>
      <c r="C46" s="1192"/>
      <c r="D46" s="1161" t="s">
        <v>681</v>
      </c>
      <c r="E46" s="999">
        <v>7</v>
      </c>
      <c r="F46" s="659"/>
      <c r="G46" s="658">
        <f t="shared" si="30"/>
        <v>0</v>
      </c>
      <c r="H46" s="68"/>
      <c r="I46" s="654">
        <f t="shared" si="0"/>
        <v>0</v>
      </c>
      <c r="J46" s="659"/>
      <c r="K46" s="658">
        <f t="shared" si="1"/>
        <v>0</v>
      </c>
      <c r="L46" s="68"/>
      <c r="M46" s="654">
        <f t="shared" si="2"/>
        <v>0</v>
      </c>
      <c r="N46" s="659"/>
      <c r="O46" s="658">
        <f t="shared" si="3"/>
        <v>0</v>
      </c>
      <c r="P46" s="657"/>
      <c r="Q46" s="654">
        <f t="shared" si="26"/>
        <v>0</v>
      </c>
      <c r="R46" s="68"/>
      <c r="S46" s="654">
        <f t="shared" si="5"/>
        <v>0</v>
      </c>
      <c r="T46" s="68"/>
      <c r="U46" s="654">
        <f t="shared" si="6"/>
        <v>0</v>
      </c>
      <c r="V46" s="659"/>
      <c r="W46" s="658">
        <f t="shared" si="7"/>
        <v>0</v>
      </c>
      <c r="X46" s="68"/>
      <c r="Y46" s="654">
        <f t="shared" si="27"/>
        <v>0</v>
      </c>
      <c r="Z46" s="659"/>
      <c r="AA46" s="658">
        <f t="shared" si="9"/>
        <v>0</v>
      </c>
      <c r="AB46" s="68"/>
      <c r="AC46" s="654">
        <f t="shared" si="10"/>
        <v>0</v>
      </c>
      <c r="AD46" s="660"/>
      <c r="AE46" s="1002"/>
      <c r="AF46" s="1300"/>
      <c r="AG46" s="662">
        <f t="shared" si="40"/>
        <v>7</v>
      </c>
      <c r="AH46" s="663">
        <v>0</v>
      </c>
      <c r="AI46" s="664">
        <v>0</v>
      </c>
      <c r="AJ46" s="665">
        <f t="shared" si="34"/>
        <v>0</v>
      </c>
      <c r="AK46" s="1528">
        <v>5</v>
      </c>
      <c r="AL46" s="691"/>
      <c r="AM46" s="746"/>
      <c r="AN46" s="765"/>
      <c r="AO46" s="694"/>
      <c r="AP46" s="1528"/>
    </row>
    <row r="47" spans="1:42" ht="21.75">
      <c r="A47" s="1560"/>
      <c r="B47" s="1562" t="s">
        <v>983</v>
      </c>
      <c r="C47" s="1192"/>
      <c r="D47" s="1161" t="s">
        <v>397</v>
      </c>
      <c r="E47" s="999">
        <v>8.2</v>
      </c>
      <c r="F47" s="659"/>
      <c r="G47" s="658">
        <f t="shared" si="30"/>
        <v>0</v>
      </c>
      <c r="H47" s="68"/>
      <c r="I47" s="654">
        <f t="shared" si="0"/>
        <v>0</v>
      </c>
      <c r="J47" s="659"/>
      <c r="K47" s="658">
        <f t="shared" si="1"/>
        <v>0</v>
      </c>
      <c r="L47" s="68"/>
      <c r="M47" s="654">
        <f t="shared" si="2"/>
        <v>0</v>
      </c>
      <c r="N47" s="659"/>
      <c r="O47" s="658">
        <f t="shared" si="3"/>
        <v>0</v>
      </c>
      <c r="P47" s="657"/>
      <c r="Q47" s="654">
        <f t="shared" si="26"/>
        <v>0</v>
      </c>
      <c r="R47" s="68"/>
      <c r="S47" s="654">
        <f t="shared" si="5"/>
        <v>0</v>
      </c>
      <c r="T47" s="68"/>
      <c r="U47" s="654">
        <f t="shared" si="6"/>
        <v>0</v>
      </c>
      <c r="V47" s="659"/>
      <c r="W47" s="658">
        <f t="shared" si="7"/>
        <v>0</v>
      </c>
      <c r="X47" s="68"/>
      <c r="Y47" s="654">
        <f t="shared" si="27"/>
        <v>0</v>
      </c>
      <c r="Z47" s="659"/>
      <c r="AA47" s="658">
        <f t="shared" si="9"/>
        <v>0</v>
      </c>
      <c r="AB47" s="68"/>
      <c r="AC47" s="654">
        <f t="shared" si="10"/>
        <v>0</v>
      </c>
      <c r="AD47" s="660">
        <f>'[1]Commande Souvenirs, librairie'!F171</f>
        <v>5.99</v>
      </c>
      <c r="AE47" s="1002"/>
      <c r="AF47" s="1300"/>
      <c r="AG47" s="662">
        <f t="shared" si="40"/>
        <v>2.209999999999999</v>
      </c>
      <c r="AH47" s="663">
        <f>AG47*AJ47</f>
        <v>0</v>
      </c>
      <c r="AI47" s="664">
        <f aca="true" t="shared" si="42" ref="AI47:AI67">SUM(AC47+AA47+Y47+W47+U47+S47+Q47+O47+M47+K47+I47+G47)</f>
        <v>0</v>
      </c>
      <c r="AJ47" s="665">
        <f t="shared" si="34"/>
        <v>0</v>
      </c>
      <c r="AK47" s="1528">
        <f>17+6</f>
        <v>23</v>
      </c>
      <c r="AL47" s="691"/>
      <c r="AM47" s="746"/>
      <c r="AN47" s="765"/>
      <c r="AO47" s="694"/>
      <c r="AP47" s="1528"/>
    </row>
    <row r="48" spans="1:42" ht="21.75">
      <c r="A48" s="1560"/>
      <c r="B48" s="1562" t="s">
        <v>984</v>
      </c>
      <c r="C48" s="1192"/>
      <c r="D48" s="1161" t="s">
        <v>985</v>
      </c>
      <c r="E48" s="999">
        <v>9</v>
      </c>
      <c r="F48" s="659"/>
      <c r="G48" s="658">
        <f t="shared" si="30"/>
        <v>0</v>
      </c>
      <c r="H48" s="68"/>
      <c r="I48" s="654">
        <f t="shared" si="0"/>
        <v>0</v>
      </c>
      <c r="J48" s="659"/>
      <c r="K48" s="658">
        <f t="shared" si="1"/>
        <v>0</v>
      </c>
      <c r="L48" s="68"/>
      <c r="M48" s="654">
        <f t="shared" si="2"/>
        <v>0</v>
      </c>
      <c r="N48" s="659"/>
      <c r="O48" s="658">
        <f t="shared" si="3"/>
        <v>0</v>
      </c>
      <c r="P48" s="657"/>
      <c r="Q48" s="654">
        <f t="shared" si="26"/>
        <v>0</v>
      </c>
      <c r="R48" s="68"/>
      <c r="S48" s="654">
        <f t="shared" si="5"/>
        <v>0</v>
      </c>
      <c r="T48" s="68"/>
      <c r="U48" s="654">
        <f t="shared" si="6"/>
        <v>0</v>
      </c>
      <c r="V48" s="659"/>
      <c r="W48" s="658">
        <f t="shared" si="7"/>
        <v>0</v>
      </c>
      <c r="X48" s="68"/>
      <c r="Y48" s="654">
        <f t="shared" si="27"/>
        <v>0</v>
      </c>
      <c r="Z48" s="659"/>
      <c r="AA48" s="658">
        <f t="shared" si="9"/>
        <v>0</v>
      </c>
      <c r="AB48" s="68"/>
      <c r="AC48" s="654">
        <f t="shared" si="10"/>
        <v>0</v>
      </c>
      <c r="AD48" s="660"/>
      <c r="AE48" s="1002"/>
      <c r="AF48" s="1300"/>
      <c r="AG48" s="662"/>
      <c r="AH48" s="663"/>
      <c r="AI48" s="664">
        <f t="shared" si="42"/>
        <v>0</v>
      </c>
      <c r="AJ48" s="665">
        <f t="shared" si="34"/>
        <v>0</v>
      </c>
      <c r="AK48" s="1528">
        <v>20</v>
      </c>
      <c r="AL48" s="691"/>
      <c r="AM48" s="746"/>
      <c r="AN48" s="765"/>
      <c r="AO48" s="694"/>
      <c r="AP48" s="1528"/>
    </row>
    <row r="49" spans="1:42" ht="30">
      <c r="A49" s="1560"/>
      <c r="B49" s="1562" t="s">
        <v>986</v>
      </c>
      <c r="C49" s="1192"/>
      <c r="D49" s="1161" t="s">
        <v>686</v>
      </c>
      <c r="E49" s="999">
        <v>15</v>
      </c>
      <c r="F49" s="659"/>
      <c r="G49" s="658">
        <f t="shared" si="30"/>
        <v>0</v>
      </c>
      <c r="H49" s="68"/>
      <c r="I49" s="654">
        <f t="shared" si="0"/>
        <v>0</v>
      </c>
      <c r="J49" s="659"/>
      <c r="K49" s="658">
        <f t="shared" si="1"/>
        <v>0</v>
      </c>
      <c r="L49" s="68"/>
      <c r="M49" s="654">
        <f t="shared" si="2"/>
        <v>0</v>
      </c>
      <c r="N49" s="659"/>
      <c r="O49" s="658">
        <f t="shared" si="3"/>
        <v>0</v>
      </c>
      <c r="P49" s="657"/>
      <c r="Q49" s="654">
        <f t="shared" si="26"/>
        <v>0</v>
      </c>
      <c r="R49" s="68"/>
      <c r="S49" s="654">
        <f t="shared" si="5"/>
        <v>0</v>
      </c>
      <c r="T49" s="68"/>
      <c r="U49" s="654">
        <f t="shared" si="6"/>
        <v>0</v>
      </c>
      <c r="V49" s="659"/>
      <c r="W49" s="658">
        <f t="shared" si="7"/>
        <v>0</v>
      </c>
      <c r="X49" s="68"/>
      <c r="Y49" s="654">
        <f t="shared" si="27"/>
        <v>0</v>
      </c>
      <c r="Z49" s="659"/>
      <c r="AA49" s="658">
        <f t="shared" si="9"/>
        <v>0</v>
      </c>
      <c r="AB49" s="68"/>
      <c r="AC49" s="654">
        <f t="shared" si="10"/>
        <v>0</v>
      </c>
      <c r="AD49" s="660">
        <f>'[1]Commande Souvenirs, librairie'!F159</f>
        <v>9</v>
      </c>
      <c r="AE49" s="1002"/>
      <c r="AF49" s="1300"/>
      <c r="AG49" s="662">
        <f aca="true" t="shared" si="43" ref="AG49:AG50">E49-AD49</f>
        <v>6</v>
      </c>
      <c r="AH49" s="663">
        <f aca="true" t="shared" si="44" ref="AH49:AH50">AG49*AJ49</f>
        <v>0</v>
      </c>
      <c r="AI49" s="664">
        <f t="shared" si="42"/>
        <v>0</v>
      </c>
      <c r="AJ49" s="665">
        <f t="shared" si="34"/>
        <v>0</v>
      </c>
      <c r="AK49" s="1528">
        <v>7</v>
      </c>
      <c r="AL49" s="691"/>
      <c r="AM49" s="746"/>
      <c r="AN49" s="765"/>
      <c r="AO49" s="694"/>
      <c r="AP49" s="1528"/>
    </row>
    <row r="50" spans="1:42" ht="21.75">
      <c r="A50" s="1560"/>
      <c r="B50" s="1562" t="s">
        <v>987</v>
      </c>
      <c r="C50" s="1192"/>
      <c r="D50" s="1161" t="s">
        <v>307</v>
      </c>
      <c r="E50" s="999">
        <v>15</v>
      </c>
      <c r="F50" s="659"/>
      <c r="G50" s="658">
        <f t="shared" si="30"/>
        <v>0</v>
      </c>
      <c r="H50" s="68"/>
      <c r="I50" s="654">
        <f t="shared" si="0"/>
        <v>0</v>
      </c>
      <c r="J50" s="659"/>
      <c r="K50" s="658">
        <f t="shared" si="1"/>
        <v>0</v>
      </c>
      <c r="L50" s="68"/>
      <c r="M50" s="654">
        <f t="shared" si="2"/>
        <v>0</v>
      </c>
      <c r="N50" s="659"/>
      <c r="O50" s="658">
        <f t="shared" si="3"/>
        <v>0</v>
      </c>
      <c r="P50" s="657"/>
      <c r="Q50" s="654">
        <f t="shared" si="26"/>
        <v>0</v>
      </c>
      <c r="R50" s="68"/>
      <c r="S50" s="654">
        <f t="shared" si="5"/>
        <v>0</v>
      </c>
      <c r="T50" s="68"/>
      <c r="U50" s="654">
        <f t="shared" si="6"/>
        <v>0</v>
      </c>
      <c r="V50" s="659"/>
      <c r="W50" s="658">
        <f t="shared" si="7"/>
        <v>0</v>
      </c>
      <c r="X50" s="68"/>
      <c r="Y50" s="654">
        <f t="shared" si="27"/>
        <v>0</v>
      </c>
      <c r="Z50" s="659"/>
      <c r="AA50" s="658">
        <f t="shared" si="9"/>
        <v>0</v>
      </c>
      <c r="AB50" s="68"/>
      <c r="AC50" s="654">
        <f t="shared" si="10"/>
        <v>0</v>
      </c>
      <c r="AD50" s="660">
        <f>'[1]Commande Souvenirs, librairie'!F160</f>
        <v>9</v>
      </c>
      <c r="AE50" s="1002"/>
      <c r="AF50" s="1300"/>
      <c r="AG50" s="662">
        <f t="shared" si="43"/>
        <v>6</v>
      </c>
      <c r="AH50" s="663">
        <f t="shared" si="44"/>
        <v>0</v>
      </c>
      <c r="AI50" s="664">
        <f t="shared" si="42"/>
        <v>0</v>
      </c>
      <c r="AJ50" s="665">
        <f t="shared" si="34"/>
        <v>0</v>
      </c>
      <c r="AK50" s="1528">
        <v>6</v>
      </c>
      <c r="AL50" s="691"/>
      <c r="AM50" s="746"/>
      <c r="AN50" s="765"/>
      <c r="AO50" s="694"/>
      <c r="AP50" s="1528"/>
    </row>
    <row r="51" spans="1:42" ht="21.75">
      <c r="A51" s="1560"/>
      <c r="B51" s="1562" t="s">
        <v>988</v>
      </c>
      <c r="C51" s="1192"/>
      <c r="D51" s="1161" t="s">
        <v>989</v>
      </c>
      <c r="E51" s="999">
        <v>3</v>
      </c>
      <c r="F51" s="659"/>
      <c r="G51" s="658">
        <f t="shared" si="30"/>
        <v>0</v>
      </c>
      <c r="H51" s="68"/>
      <c r="I51" s="654">
        <f t="shared" si="0"/>
        <v>0</v>
      </c>
      <c r="J51" s="659"/>
      <c r="K51" s="658">
        <f t="shared" si="1"/>
        <v>0</v>
      </c>
      <c r="L51" s="68"/>
      <c r="M51" s="654">
        <f t="shared" si="2"/>
        <v>0</v>
      </c>
      <c r="N51" s="659"/>
      <c r="O51" s="658">
        <f t="shared" si="3"/>
        <v>0</v>
      </c>
      <c r="P51" s="657"/>
      <c r="Q51" s="654">
        <f t="shared" si="26"/>
        <v>0</v>
      </c>
      <c r="R51" s="68"/>
      <c r="S51" s="654">
        <f t="shared" si="5"/>
        <v>0</v>
      </c>
      <c r="T51" s="68"/>
      <c r="U51" s="654">
        <f t="shared" si="6"/>
        <v>0</v>
      </c>
      <c r="V51" s="659"/>
      <c r="W51" s="658">
        <f t="shared" si="7"/>
        <v>0</v>
      </c>
      <c r="X51" s="68"/>
      <c r="Y51" s="654">
        <f t="shared" si="27"/>
        <v>0</v>
      </c>
      <c r="Z51" s="659"/>
      <c r="AA51" s="658">
        <f t="shared" si="9"/>
        <v>0</v>
      </c>
      <c r="AB51" s="68"/>
      <c r="AC51" s="654">
        <f t="shared" si="10"/>
        <v>0</v>
      </c>
      <c r="AD51" s="660"/>
      <c r="AE51" s="1002"/>
      <c r="AF51" s="1300"/>
      <c r="AG51" s="662"/>
      <c r="AH51" s="663"/>
      <c r="AI51" s="664">
        <f t="shared" si="42"/>
        <v>0</v>
      </c>
      <c r="AJ51" s="665"/>
      <c r="AK51" s="1528"/>
      <c r="AL51" s="691"/>
      <c r="AM51" s="746"/>
      <c r="AN51" s="765"/>
      <c r="AO51" s="694"/>
      <c r="AP51" s="1528"/>
    </row>
    <row r="52" spans="1:42" ht="21.75">
      <c r="A52" s="1560"/>
      <c r="B52" s="1561" t="s">
        <v>990</v>
      </c>
      <c r="C52" s="1192"/>
      <c r="D52" s="1161" t="s">
        <v>310</v>
      </c>
      <c r="E52" s="999">
        <v>3.5</v>
      </c>
      <c r="F52" s="659"/>
      <c r="G52" s="658">
        <f t="shared" si="30"/>
        <v>0</v>
      </c>
      <c r="H52" s="68"/>
      <c r="I52" s="654">
        <f t="shared" si="0"/>
        <v>0</v>
      </c>
      <c r="J52" s="659"/>
      <c r="K52" s="658">
        <f t="shared" si="1"/>
        <v>0</v>
      </c>
      <c r="L52" s="68"/>
      <c r="M52" s="654">
        <f t="shared" si="2"/>
        <v>0</v>
      </c>
      <c r="N52" s="659"/>
      <c r="O52" s="658">
        <f t="shared" si="3"/>
        <v>0</v>
      </c>
      <c r="P52" s="657"/>
      <c r="Q52" s="654">
        <f t="shared" si="26"/>
        <v>0</v>
      </c>
      <c r="R52" s="68"/>
      <c r="S52" s="654">
        <f t="shared" si="5"/>
        <v>0</v>
      </c>
      <c r="T52" s="68"/>
      <c r="U52" s="654">
        <f t="shared" si="6"/>
        <v>0</v>
      </c>
      <c r="V52" s="659"/>
      <c r="W52" s="658">
        <f t="shared" si="7"/>
        <v>0</v>
      </c>
      <c r="X52" s="68"/>
      <c r="Y52" s="654">
        <f t="shared" si="27"/>
        <v>0</v>
      </c>
      <c r="Z52" s="659"/>
      <c r="AA52" s="658">
        <f t="shared" si="9"/>
        <v>0</v>
      </c>
      <c r="AB52" s="68"/>
      <c r="AC52" s="654">
        <f t="shared" si="10"/>
        <v>0</v>
      </c>
      <c r="AD52" s="660">
        <f>'[1]Commande Souvenirs, librairie'!F162</f>
        <v>0.88</v>
      </c>
      <c r="AE52" s="1002"/>
      <c r="AF52" s="1300"/>
      <c r="AG52" s="662">
        <f aca="true" t="shared" si="45" ref="AG52:AG53">E52-AD52</f>
        <v>2.62</v>
      </c>
      <c r="AH52" s="663">
        <f aca="true" t="shared" si="46" ref="AH52:AH53">AG52*AJ52</f>
        <v>0</v>
      </c>
      <c r="AI52" s="664">
        <f t="shared" si="42"/>
        <v>0</v>
      </c>
      <c r="AJ52" s="665">
        <f aca="true" t="shared" si="47" ref="AJ52:AJ55">SUM(F52+H52+J52+L52+N52+P52+R52+T52+V52+X52+Z52+AB52)</f>
        <v>0</v>
      </c>
      <c r="AK52" s="1528">
        <f>174+2</f>
        <v>176</v>
      </c>
      <c r="AL52" s="691"/>
      <c r="AM52" s="746"/>
      <c r="AN52" s="765"/>
      <c r="AO52" s="694"/>
      <c r="AP52" s="1528"/>
    </row>
    <row r="53" spans="1:42" ht="21.75">
      <c r="A53" s="1560"/>
      <c r="B53" s="1562" t="s">
        <v>991</v>
      </c>
      <c r="C53" s="1192"/>
      <c r="D53" s="1161" t="s">
        <v>311</v>
      </c>
      <c r="E53" s="999">
        <v>3.5</v>
      </c>
      <c r="F53" s="659"/>
      <c r="G53" s="658">
        <f t="shared" si="30"/>
        <v>0</v>
      </c>
      <c r="H53" s="68"/>
      <c r="I53" s="654">
        <f t="shared" si="0"/>
        <v>0</v>
      </c>
      <c r="J53" s="659"/>
      <c r="K53" s="658">
        <f t="shared" si="1"/>
        <v>0</v>
      </c>
      <c r="L53" s="68"/>
      <c r="M53" s="654">
        <f t="shared" si="2"/>
        <v>0</v>
      </c>
      <c r="N53" s="659"/>
      <c r="O53" s="658">
        <f t="shared" si="3"/>
        <v>0</v>
      </c>
      <c r="P53" s="657"/>
      <c r="Q53" s="654">
        <f t="shared" si="26"/>
        <v>0</v>
      </c>
      <c r="R53" s="68"/>
      <c r="S53" s="654">
        <f t="shared" si="5"/>
        <v>0</v>
      </c>
      <c r="T53" s="68"/>
      <c r="U53" s="654">
        <f t="shared" si="6"/>
        <v>0</v>
      </c>
      <c r="V53" s="659"/>
      <c r="W53" s="658">
        <f t="shared" si="7"/>
        <v>0</v>
      </c>
      <c r="X53" s="68"/>
      <c r="Y53" s="654">
        <f t="shared" si="27"/>
        <v>0</v>
      </c>
      <c r="Z53" s="659"/>
      <c r="AA53" s="658">
        <f t="shared" si="9"/>
        <v>0</v>
      </c>
      <c r="AB53" s="68"/>
      <c r="AC53" s="654">
        <f t="shared" si="10"/>
        <v>0</v>
      </c>
      <c r="AD53" s="660">
        <f>'[1]Commande Souvenirs, librairie'!F163</f>
        <v>0.88</v>
      </c>
      <c r="AE53" s="1002"/>
      <c r="AF53" s="1300"/>
      <c r="AG53" s="662">
        <f t="shared" si="45"/>
        <v>2.62</v>
      </c>
      <c r="AH53" s="663">
        <f t="shared" si="46"/>
        <v>0</v>
      </c>
      <c r="AI53" s="664">
        <f t="shared" si="42"/>
        <v>0</v>
      </c>
      <c r="AJ53" s="665">
        <f t="shared" si="47"/>
        <v>0</v>
      </c>
      <c r="AK53" s="1528">
        <v>113</v>
      </c>
      <c r="AL53" s="691"/>
      <c r="AM53" s="746"/>
      <c r="AN53" s="765"/>
      <c r="AO53" s="694"/>
      <c r="AP53" s="1528"/>
    </row>
    <row r="54" spans="1:42" ht="21.75">
      <c r="A54" s="1560"/>
      <c r="B54" s="1562" t="s">
        <v>992</v>
      </c>
      <c r="C54" s="1192"/>
      <c r="D54" s="1161" t="s">
        <v>687</v>
      </c>
      <c r="E54" s="999">
        <v>4</v>
      </c>
      <c r="F54" s="659"/>
      <c r="G54" s="658">
        <f t="shared" si="30"/>
        <v>0</v>
      </c>
      <c r="H54" s="68"/>
      <c r="I54" s="654">
        <f t="shared" si="0"/>
        <v>0</v>
      </c>
      <c r="J54" s="659"/>
      <c r="K54" s="658">
        <f t="shared" si="1"/>
        <v>0</v>
      </c>
      <c r="L54" s="68"/>
      <c r="M54" s="654">
        <f t="shared" si="2"/>
        <v>0</v>
      </c>
      <c r="N54" s="659"/>
      <c r="O54" s="658">
        <f t="shared" si="3"/>
        <v>0</v>
      </c>
      <c r="P54" s="657"/>
      <c r="Q54" s="654">
        <f t="shared" si="26"/>
        <v>0</v>
      </c>
      <c r="R54" s="68"/>
      <c r="S54" s="654">
        <f t="shared" si="5"/>
        <v>0</v>
      </c>
      <c r="T54" s="68"/>
      <c r="U54" s="654">
        <f t="shared" si="6"/>
        <v>0</v>
      </c>
      <c r="V54" s="659"/>
      <c r="W54" s="658">
        <f t="shared" si="7"/>
        <v>0</v>
      </c>
      <c r="X54" s="68"/>
      <c r="Y54" s="654">
        <f t="shared" si="27"/>
        <v>0</v>
      </c>
      <c r="Z54" s="659"/>
      <c r="AA54" s="658">
        <f t="shared" si="9"/>
        <v>0</v>
      </c>
      <c r="AB54" s="68"/>
      <c r="AC54" s="654">
        <f t="shared" si="10"/>
        <v>0</v>
      </c>
      <c r="AD54" s="660"/>
      <c r="AE54" s="1002"/>
      <c r="AF54" s="1300"/>
      <c r="AG54" s="662"/>
      <c r="AH54" s="663"/>
      <c r="AI54" s="664">
        <f t="shared" si="42"/>
        <v>0</v>
      </c>
      <c r="AJ54" s="665">
        <f t="shared" si="47"/>
        <v>0</v>
      </c>
      <c r="AK54" s="1528">
        <v>12</v>
      </c>
      <c r="AL54" s="691"/>
      <c r="AM54" s="746"/>
      <c r="AN54" s="765"/>
      <c r="AO54" s="694"/>
      <c r="AP54" s="1528"/>
    </row>
    <row r="55" spans="1:42" ht="21.75">
      <c r="A55" s="1560"/>
      <c r="B55" s="1562" t="s">
        <v>993</v>
      </c>
      <c r="C55" s="1563"/>
      <c r="D55" s="1161" t="s">
        <v>316</v>
      </c>
      <c r="E55" s="999">
        <v>3.5</v>
      </c>
      <c r="F55" s="659"/>
      <c r="G55" s="658">
        <f t="shared" si="30"/>
        <v>0</v>
      </c>
      <c r="H55" s="68"/>
      <c r="I55" s="654">
        <f t="shared" si="0"/>
        <v>0</v>
      </c>
      <c r="J55" s="659"/>
      <c r="K55" s="658">
        <f t="shared" si="1"/>
        <v>0</v>
      </c>
      <c r="L55" s="68"/>
      <c r="M55" s="654">
        <f t="shared" si="2"/>
        <v>0</v>
      </c>
      <c r="N55" s="659"/>
      <c r="O55" s="658">
        <f t="shared" si="3"/>
        <v>0</v>
      </c>
      <c r="P55" s="657"/>
      <c r="Q55" s="654">
        <f t="shared" si="26"/>
        <v>0</v>
      </c>
      <c r="R55" s="68"/>
      <c r="S55" s="654">
        <f t="shared" si="5"/>
        <v>0</v>
      </c>
      <c r="T55" s="68"/>
      <c r="U55" s="654">
        <f t="shared" si="6"/>
        <v>0</v>
      </c>
      <c r="V55" s="659"/>
      <c r="W55" s="658">
        <f t="shared" si="7"/>
        <v>0</v>
      </c>
      <c r="X55" s="68"/>
      <c r="Y55" s="654">
        <f t="shared" si="27"/>
        <v>0</v>
      </c>
      <c r="Z55" s="659"/>
      <c r="AA55" s="658">
        <f t="shared" si="9"/>
        <v>0</v>
      </c>
      <c r="AB55" s="68"/>
      <c r="AC55" s="654">
        <f t="shared" si="10"/>
        <v>0</v>
      </c>
      <c r="AD55" s="660">
        <f>'[1]Commande Souvenirs, librairie'!F165</f>
        <v>0.88</v>
      </c>
      <c r="AE55" s="1002"/>
      <c r="AF55" s="1300"/>
      <c r="AG55" s="662">
        <f>E55-AD55</f>
        <v>2.62</v>
      </c>
      <c r="AH55" s="663">
        <f>AG55*AJ55</f>
        <v>0</v>
      </c>
      <c r="AI55" s="664">
        <f t="shared" si="42"/>
        <v>0</v>
      </c>
      <c r="AJ55" s="665">
        <f t="shared" si="47"/>
        <v>0</v>
      </c>
      <c r="AK55" s="1528">
        <v>121</v>
      </c>
      <c r="AL55" s="691"/>
      <c r="AM55" s="746"/>
      <c r="AN55" s="765"/>
      <c r="AO55" s="694"/>
      <c r="AP55" s="1528"/>
    </row>
    <row r="56" spans="1:42" ht="21.75">
      <c r="A56" s="1560"/>
      <c r="B56" s="1562" t="s">
        <v>994</v>
      </c>
      <c r="C56" s="1194" t="s">
        <v>995</v>
      </c>
      <c r="D56" s="1564" t="s">
        <v>996</v>
      </c>
      <c r="E56" s="1018">
        <v>29</v>
      </c>
      <c r="F56" s="729"/>
      <c r="G56" s="728">
        <f t="shared" si="30"/>
        <v>0</v>
      </c>
      <c r="H56" s="49"/>
      <c r="I56" s="724">
        <f t="shared" si="0"/>
        <v>0</v>
      </c>
      <c r="J56" s="729"/>
      <c r="K56" s="728">
        <f t="shared" si="1"/>
        <v>0</v>
      </c>
      <c r="L56" s="49"/>
      <c r="M56" s="724">
        <f t="shared" si="2"/>
        <v>0</v>
      </c>
      <c r="N56" s="729"/>
      <c r="O56" s="728">
        <f t="shared" si="3"/>
        <v>0</v>
      </c>
      <c r="P56" s="727"/>
      <c r="Q56" s="724">
        <f t="shared" si="26"/>
        <v>0</v>
      </c>
      <c r="R56" s="49"/>
      <c r="S56" s="724">
        <f t="shared" si="5"/>
        <v>0</v>
      </c>
      <c r="T56" s="49"/>
      <c r="U56" s="724">
        <f t="shared" si="6"/>
        <v>0</v>
      </c>
      <c r="V56" s="729"/>
      <c r="W56" s="728">
        <f t="shared" si="7"/>
        <v>0</v>
      </c>
      <c r="X56" s="49"/>
      <c r="Y56" s="724">
        <f t="shared" si="27"/>
        <v>0</v>
      </c>
      <c r="Z56" s="729"/>
      <c r="AA56" s="728">
        <f t="shared" si="9"/>
        <v>0</v>
      </c>
      <c r="AB56" s="49"/>
      <c r="AC56" s="1167">
        <f t="shared" si="10"/>
        <v>0</v>
      </c>
      <c r="AD56" s="730"/>
      <c r="AE56" s="1565"/>
      <c r="AF56" s="1300"/>
      <c r="AG56" s="1122"/>
      <c r="AH56" s="733"/>
      <c r="AI56" s="734">
        <f t="shared" si="42"/>
        <v>0</v>
      </c>
      <c r="AJ56" s="735"/>
      <c r="AK56" s="1528"/>
      <c r="AL56" s="737"/>
      <c r="AM56" s="746"/>
      <c r="AN56" s="747"/>
      <c r="AO56" s="748"/>
      <c r="AP56" s="1528"/>
    </row>
    <row r="57" spans="1:42" ht="21.75">
      <c r="A57" s="1560"/>
      <c r="B57" s="1562" t="s">
        <v>997</v>
      </c>
      <c r="C57" s="1563"/>
      <c r="D57" s="1564" t="s">
        <v>998</v>
      </c>
      <c r="E57" s="1018">
        <v>29.5</v>
      </c>
      <c r="F57" s="729"/>
      <c r="G57" s="728">
        <f t="shared" si="30"/>
        <v>0</v>
      </c>
      <c r="H57" s="49"/>
      <c r="I57" s="724">
        <f t="shared" si="0"/>
        <v>0</v>
      </c>
      <c r="J57" s="729"/>
      <c r="K57" s="728">
        <f t="shared" si="1"/>
        <v>0</v>
      </c>
      <c r="L57" s="49"/>
      <c r="M57" s="724">
        <f t="shared" si="2"/>
        <v>0</v>
      </c>
      <c r="N57" s="729"/>
      <c r="O57" s="728">
        <f t="shared" si="3"/>
        <v>0</v>
      </c>
      <c r="P57" s="727"/>
      <c r="Q57" s="724">
        <f t="shared" si="26"/>
        <v>0</v>
      </c>
      <c r="R57" s="49"/>
      <c r="S57" s="724">
        <f t="shared" si="5"/>
        <v>0</v>
      </c>
      <c r="T57" s="49"/>
      <c r="U57" s="724">
        <f t="shared" si="6"/>
        <v>0</v>
      </c>
      <c r="V57" s="729"/>
      <c r="W57" s="728">
        <f t="shared" si="7"/>
        <v>0</v>
      </c>
      <c r="X57" s="49"/>
      <c r="Y57" s="724">
        <f t="shared" si="27"/>
        <v>0</v>
      </c>
      <c r="Z57" s="729"/>
      <c r="AA57" s="728">
        <f t="shared" si="9"/>
        <v>0</v>
      </c>
      <c r="AB57" s="49"/>
      <c r="AC57" s="1167">
        <f t="shared" si="10"/>
        <v>0</v>
      </c>
      <c r="AD57" s="730"/>
      <c r="AE57" s="1565"/>
      <c r="AF57" s="1300"/>
      <c r="AG57" s="1122"/>
      <c r="AH57" s="733"/>
      <c r="AI57" s="734">
        <f t="shared" si="42"/>
        <v>0</v>
      </c>
      <c r="AJ57" s="735"/>
      <c r="AK57" s="1528"/>
      <c r="AL57" s="737"/>
      <c r="AM57" s="746"/>
      <c r="AN57" s="747"/>
      <c r="AO57" s="748"/>
      <c r="AP57" s="1528"/>
    </row>
    <row r="58" spans="1:42" ht="21.75">
      <c r="A58" s="1560"/>
      <c r="B58" s="1562" t="s">
        <v>999</v>
      </c>
      <c r="C58" s="1566" t="s">
        <v>690</v>
      </c>
      <c r="D58" s="1164" t="s">
        <v>691</v>
      </c>
      <c r="E58" s="986">
        <v>3</v>
      </c>
      <c r="F58" s="637"/>
      <c r="G58" s="636">
        <f t="shared" si="30"/>
        <v>0</v>
      </c>
      <c r="H58" s="634"/>
      <c r="I58" s="631">
        <f t="shared" si="0"/>
        <v>0</v>
      </c>
      <c r="J58" s="637"/>
      <c r="K58" s="636">
        <f t="shared" si="1"/>
        <v>0</v>
      </c>
      <c r="L58" s="634"/>
      <c r="M58" s="631">
        <f t="shared" si="2"/>
        <v>0</v>
      </c>
      <c r="N58" s="637"/>
      <c r="O58" s="636">
        <f t="shared" si="3"/>
        <v>0</v>
      </c>
      <c r="P58" s="635"/>
      <c r="Q58" s="631">
        <f t="shared" si="26"/>
        <v>0</v>
      </c>
      <c r="R58" s="634"/>
      <c r="S58" s="631">
        <f t="shared" si="5"/>
        <v>0</v>
      </c>
      <c r="T58" s="634"/>
      <c r="U58" s="631">
        <f t="shared" si="6"/>
        <v>0</v>
      </c>
      <c r="V58" s="637"/>
      <c r="W58" s="636">
        <f t="shared" si="7"/>
        <v>0</v>
      </c>
      <c r="X58" s="634"/>
      <c r="Y58" s="631">
        <f t="shared" si="27"/>
        <v>0</v>
      </c>
      <c r="Z58" s="637"/>
      <c r="AA58" s="636">
        <f t="shared" si="9"/>
        <v>0</v>
      </c>
      <c r="AB58" s="634"/>
      <c r="AC58" s="1165">
        <f t="shared" si="10"/>
        <v>0</v>
      </c>
      <c r="AD58" s="638">
        <f>'[1]Commande Souvenirs, librairie'!F67</f>
        <v>2</v>
      </c>
      <c r="AE58" s="639"/>
      <c r="AF58" s="1300"/>
      <c r="AG58" s="641">
        <f aca="true" t="shared" si="48" ref="AG58:AG61">E58-AD58</f>
        <v>1</v>
      </c>
      <c r="AH58" s="642">
        <f aca="true" t="shared" si="49" ref="AH58:AH61">AG58*AJ58</f>
        <v>0</v>
      </c>
      <c r="AI58" s="643">
        <f t="shared" si="42"/>
        <v>0</v>
      </c>
      <c r="AJ58" s="644">
        <f aca="true" t="shared" si="50" ref="AJ58:AJ67">SUM(F58+H58+J58+L58+N58+P58+R58+T58+V58+X58+Z58+AB58)</f>
        <v>0</v>
      </c>
      <c r="AK58" s="1528">
        <v>3</v>
      </c>
      <c r="AL58" s="892"/>
      <c r="AM58" s="647"/>
      <c r="AN58" s="893"/>
      <c r="AO58" s="810"/>
      <c r="AP58" s="1528"/>
    </row>
    <row r="59" spans="1:42" ht="21.75">
      <c r="A59" s="1560"/>
      <c r="B59" s="1562" t="s">
        <v>1000</v>
      </c>
      <c r="C59" s="1567"/>
      <c r="D59" s="1160" t="s">
        <v>294</v>
      </c>
      <c r="E59" s="999">
        <v>3</v>
      </c>
      <c r="F59" s="659"/>
      <c r="G59" s="658">
        <f t="shared" si="30"/>
        <v>0</v>
      </c>
      <c r="H59" s="68"/>
      <c r="I59" s="654">
        <f t="shared" si="0"/>
        <v>0</v>
      </c>
      <c r="J59" s="659"/>
      <c r="K59" s="658">
        <f t="shared" si="1"/>
        <v>0</v>
      </c>
      <c r="L59" s="68"/>
      <c r="M59" s="654">
        <f t="shared" si="2"/>
        <v>0</v>
      </c>
      <c r="N59" s="659"/>
      <c r="O59" s="658">
        <f t="shared" si="3"/>
        <v>0</v>
      </c>
      <c r="P59" s="657"/>
      <c r="Q59" s="654">
        <f t="shared" si="26"/>
        <v>0</v>
      </c>
      <c r="R59" s="68"/>
      <c r="S59" s="654">
        <f t="shared" si="5"/>
        <v>0</v>
      </c>
      <c r="T59" s="68"/>
      <c r="U59" s="654">
        <f t="shared" si="6"/>
        <v>0</v>
      </c>
      <c r="V59" s="659"/>
      <c r="W59" s="658">
        <f t="shared" si="7"/>
        <v>0</v>
      </c>
      <c r="X59" s="68"/>
      <c r="Y59" s="654">
        <f t="shared" si="27"/>
        <v>0</v>
      </c>
      <c r="Z59" s="659"/>
      <c r="AA59" s="658">
        <f t="shared" si="9"/>
        <v>0</v>
      </c>
      <c r="AB59" s="68"/>
      <c r="AC59" s="1168">
        <f t="shared" si="10"/>
        <v>0</v>
      </c>
      <c r="AD59" s="660">
        <f>'[1]Commande Souvenirs, librairie'!F66</f>
        <v>2</v>
      </c>
      <c r="AE59" s="661"/>
      <c r="AF59" s="1300"/>
      <c r="AG59" s="662">
        <f t="shared" si="48"/>
        <v>1</v>
      </c>
      <c r="AH59" s="663">
        <f t="shared" si="49"/>
        <v>0</v>
      </c>
      <c r="AI59" s="664">
        <f t="shared" si="42"/>
        <v>0</v>
      </c>
      <c r="AJ59" s="665">
        <f t="shared" si="50"/>
        <v>0</v>
      </c>
      <c r="AK59" s="1528">
        <v>10</v>
      </c>
      <c r="AL59" s="767"/>
      <c r="AM59" s="647"/>
      <c r="AN59" s="768"/>
      <c r="AO59" s="717"/>
      <c r="AP59" s="1528"/>
    </row>
    <row r="60" spans="1:42" ht="21.75">
      <c r="A60" s="1560"/>
      <c r="B60" s="1562" t="s">
        <v>1001</v>
      </c>
      <c r="C60" s="1568"/>
      <c r="D60" s="1169" t="s">
        <v>693</v>
      </c>
      <c r="E60" s="1011">
        <v>5</v>
      </c>
      <c r="F60" s="706"/>
      <c r="G60" s="705">
        <f t="shared" si="30"/>
        <v>0</v>
      </c>
      <c r="H60" s="703"/>
      <c r="I60" s="700">
        <f t="shared" si="0"/>
        <v>0</v>
      </c>
      <c r="J60" s="706"/>
      <c r="K60" s="705">
        <f t="shared" si="1"/>
        <v>0</v>
      </c>
      <c r="L60" s="703"/>
      <c r="M60" s="700">
        <f t="shared" si="2"/>
        <v>0</v>
      </c>
      <c r="N60" s="706"/>
      <c r="O60" s="705">
        <f t="shared" si="3"/>
        <v>0</v>
      </c>
      <c r="P60" s="704"/>
      <c r="Q60" s="700">
        <f t="shared" si="26"/>
        <v>0</v>
      </c>
      <c r="R60" s="703"/>
      <c r="S60" s="700">
        <f t="shared" si="5"/>
        <v>0</v>
      </c>
      <c r="T60" s="703"/>
      <c r="U60" s="700">
        <f t="shared" si="6"/>
        <v>0</v>
      </c>
      <c r="V60" s="706"/>
      <c r="W60" s="705">
        <f t="shared" si="7"/>
        <v>0</v>
      </c>
      <c r="X60" s="703"/>
      <c r="Y60" s="700">
        <f t="shared" si="27"/>
        <v>0</v>
      </c>
      <c r="Z60" s="706"/>
      <c r="AA60" s="705">
        <f t="shared" si="9"/>
        <v>0</v>
      </c>
      <c r="AB60" s="703"/>
      <c r="AC60" s="1170">
        <f t="shared" si="10"/>
        <v>0</v>
      </c>
      <c r="AD60" s="707">
        <f>'[1]Commande Souvenirs, librairie'!F68</f>
        <v>3</v>
      </c>
      <c r="AE60" s="708"/>
      <c r="AF60" s="1300"/>
      <c r="AG60" s="709">
        <f t="shared" si="48"/>
        <v>2</v>
      </c>
      <c r="AH60" s="710">
        <f t="shared" si="49"/>
        <v>0</v>
      </c>
      <c r="AI60" s="711">
        <f t="shared" si="42"/>
        <v>0</v>
      </c>
      <c r="AJ60" s="712">
        <f t="shared" si="50"/>
        <v>0</v>
      </c>
      <c r="AK60" s="1528">
        <v>4</v>
      </c>
      <c r="AL60" s="767"/>
      <c r="AM60" s="788"/>
      <c r="AN60" s="768"/>
      <c r="AO60" s="717"/>
      <c r="AP60" s="1528"/>
    </row>
    <row r="61" spans="1:42" ht="21.75" customHeight="1">
      <c r="A61" s="1560"/>
      <c r="B61" s="1562" t="s">
        <v>1002</v>
      </c>
      <c r="C61" s="1569" t="s">
        <v>1003</v>
      </c>
      <c r="D61" s="1161" t="s">
        <v>212</v>
      </c>
      <c r="E61" s="999">
        <v>15</v>
      </c>
      <c r="F61" s="659"/>
      <c r="G61" s="658">
        <f t="shared" si="30"/>
        <v>0</v>
      </c>
      <c r="H61" s="68"/>
      <c r="I61" s="654">
        <f t="shared" si="0"/>
        <v>0</v>
      </c>
      <c r="J61" s="659"/>
      <c r="K61" s="658">
        <f t="shared" si="1"/>
        <v>0</v>
      </c>
      <c r="L61" s="68"/>
      <c r="M61" s="654">
        <f t="shared" si="2"/>
        <v>0</v>
      </c>
      <c r="N61" s="659"/>
      <c r="O61" s="658">
        <f t="shared" si="3"/>
        <v>0</v>
      </c>
      <c r="P61" s="657"/>
      <c r="Q61" s="654">
        <f t="shared" si="26"/>
        <v>0</v>
      </c>
      <c r="R61" s="68"/>
      <c r="S61" s="654">
        <f t="shared" si="5"/>
        <v>0</v>
      </c>
      <c r="T61" s="68"/>
      <c r="U61" s="654">
        <f t="shared" si="6"/>
        <v>0</v>
      </c>
      <c r="V61" s="659"/>
      <c r="W61" s="658">
        <f t="shared" si="7"/>
        <v>0</v>
      </c>
      <c r="X61" s="68"/>
      <c r="Y61" s="654">
        <f t="shared" si="27"/>
        <v>0</v>
      </c>
      <c r="Z61" s="659"/>
      <c r="AA61" s="658">
        <f t="shared" si="9"/>
        <v>0</v>
      </c>
      <c r="AB61" s="68"/>
      <c r="AC61" s="654">
        <f t="shared" si="10"/>
        <v>0</v>
      </c>
      <c r="AD61" s="660">
        <f>'[1]Commande Souvenirs, librairie'!F29</f>
        <v>7</v>
      </c>
      <c r="AE61" s="661"/>
      <c r="AF61" s="1300"/>
      <c r="AG61" s="662">
        <f t="shared" si="48"/>
        <v>8</v>
      </c>
      <c r="AH61" s="663">
        <f t="shared" si="49"/>
        <v>0</v>
      </c>
      <c r="AI61" s="664">
        <f t="shared" si="42"/>
        <v>0</v>
      </c>
      <c r="AJ61" s="665">
        <f t="shared" si="50"/>
        <v>0</v>
      </c>
      <c r="AK61" s="1528">
        <v>0</v>
      </c>
      <c r="AL61" s="767"/>
      <c r="AM61" s="647"/>
      <c r="AN61" s="768"/>
      <c r="AO61" s="717"/>
      <c r="AP61" s="1528"/>
    </row>
    <row r="62" spans="1:42" ht="21.75">
      <c r="A62" s="1560"/>
      <c r="B62" s="1562" t="s">
        <v>1004</v>
      </c>
      <c r="C62" s="1569"/>
      <c r="D62" s="1161" t="s">
        <v>696</v>
      </c>
      <c r="E62" s="999">
        <v>15</v>
      </c>
      <c r="F62" s="659"/>
      <c r="G62" s="658">
        <f t="shared" si="30"/>
        <v>0</v>
      </c>
      <c r="H62" s="68"/>
      <c r="I62" s="654">
        <f t="shared" si="0"/>
        <v>0</v>
      </c>
      <c r="J62" s="659"/>
      <c r="K62" s="658">
        <f t="shared" si="1"/>
        <v>0</v>
      </c>
      <c r="L62" s="68"/>
      <c r="M62" s="654">
        <f t="shared" si="2"/>
        <v>0</v>
      </c>
      <c r="N62" s="659"/>
      <c r="O62" s="658">
        <f t="shared" si="3"/>
        <v>0</v>
      </c>
      <c r="P62" s="657"/>
      <c r="Q62" s="654">
        <f t="shared" si="26"/>
        <v>0</v>
      </c>
      <c r="R62" s="68"/>
      <c r="S62" s="654">
        <f t="shared" si="5"/>
        <v>0</v>
      </c>
      <c r="T62" s="68"/>
      <c r="U62" s="654">
        <f t="shared" si="6"/>
        <v>0</v>
      </c>
      <c r="V62" s="659"/>
      <c r="W62" s="658">
        <f t="shared" si="7"/>
        <v>0</v>
      </c>
      <c r="X62" s="68"/>
      <c r="Y62" s="654">
        <f t="shared" si="27"/>
        <v>0</v>
      </c>
      <c r="Z62" s="659"/>
      <c r="AA62" s="658">
        <f t="shared" si="9"/>
        <v>0</v>
      </c>
      <c r="AB62" s="68"/>
      <c r="AC62" s="654">
        <f t="shared" si="10"/>
        <v>0</v>
      </c>
      <c r="AD62" s="660"/>
      <c r="AE62" s="661"/>
      <c r="AF62" s="1300"/>
      <c r="AG62" s="662"/>
      <c r="AH62" s="663"/>
      <c r="AI62" s="664">
        <f t="shared" si="42"/>
        <v>0</v>
      </c>
      <c r="AJ62" s="665">
        <f t="shared" si="50"/>
        <v>0</v>
      </c>
      <c r="AK62" s="1528">
        <v>5</v>
      </c>
      <c r="AL62" s="767"/>
      <c r="AM62" s="647"/>
      <c r="AN62" s="768"/>
      <c r="AO62" s="717"/>
      <c r="AP62" s="1528"/>
    </row>
    <row r="63" spans="1:42" ht="21.75">
      <c r="A63" s="1560"/>
      <c r="B63" s="1562" t="s">
        <v>1005</v>
      </c>
      <c r="C63" s="1569"/>
      <c r="D63" s="1161" t="s">
        <v>699</v>
      </c>
      <c r="E63" s="999">
        <v>7</v>
      </c>
      <c r="F63" s="659"/>
      <c r="G63" s="658">
        <f t="shared" si="30"/>
        <v>0</v>
      </c>
      <c r="H63" s="68"/>
      <c r="I63" s="654">
        <f t="shared" si="0"/>
        <v>0</v>
      </c>
      <c r="J63" s="659"/>
      <c r="K63" s="658">
        <f t="shared" si="1"/>
        <v>0</v>
      </c>
      <c r="L63" s="68"/>
      <c r="M63" s="654">
        <f t="shared" si="2"/>
        <v>0</v>
      </c>
      <c r="N63" s="659"/>
      <c r="O63" s="658">
        <f t="shared" si="3"/>
        <v>0</v>
      </c>
      <c r="P63" s="657"/>
      <c r="Q63" s="654">
        <f t="shared" si="26"/>
        <v>0</v>
      </c>
      <c r="R63" s="68"/>
      <c r="S63" s="654">
        <f t="shared" si="5"/>
        <v>0</v>
      </c>
      <c r="T63" s="68"/>
      <c r="U63" s="654">
        <f t="shared" si="6"/>
        <v>0</v>
      </c>
      <c r="V63" s="659"/>
      <c r="W63" s="658">
        <f t="shared" si="7"/>
        <v>0</v>
      </c>
      <c r="X63" s="68"/>
      <c r="Y63" s="654">
        <f t="shared" si="27"/>
        <v>0</v>
      </c>
      <c r="Z63" s="659"/>
      <c r="AA63" s="658">
        <f t="shared" si="9"/>
        <v>0</v>
      </c>
      <c r="AB63" s="68"/>
      <c r="AC63" s="654">
        <f t="shared" si="10"/>
        <v>0</v>
      </c>
      <c r="AD63" s="660"/>
      <c r="AE63" s="661"/>
      <c r="AF63" s="1300"/>
      <c r="AG63" s="662"/>
      <c r="AH63" s="663"/>
      <c r="AI63" s="664">
        <f t="shared" si="42"/>
        <v>0</v>
      </c>
      <c r="AJ63" s="665">
        <f t="shared" si="50"/>
        <v>0</v>
      </c>
      <c r="AK63" s="1528">
        <v>1</v>
      </c>
      <c r="AL63" s="767"/>
      <c r="AM63" s="647"/>
      <c r="AN63" s="768"/>
      <c r="AO63" s="717"/>
      <c r="AP63" s="1528"/>
    </row>
    <row r="64" spans="1:42" ht="21.75">
      <c r="A64" s="1560"/>
      <c r="B64" s="1562" t="s">
        <v>1006</v>
      </c>
      <c r="C64" s="1569"/>
      <c r="D64" s="1161" t="s">
        <v>266</v>
      </c>
      <c r="E64" s="999">
        <v>9</v>
      </c>
      <c r="F64" s="659"/>
      <c r="G64" s="658">
        <f t="shared" si="30"/>
        <v>0</v>
      </c>
      <c r="H64" s="68"/>
      <c r="I64" s="654">
        <f t="shared" si="0"/>
        <v>0</v>
      </c>
      <c r="J64" s="659"/>
      <c r="K64" s="658">
        <f t="shared" si="1"/>
        <v>0</v>
      </c>
      <c r="L64" s="68"/>
      <c r="M64" s="654">
        <f t="shared" si="2"/>
        <v>0</v>
      </c>
      <c r="N64" s="659"/>
      <c r="O64" s="658">
        <f t="shared" si="3"/>
        <v>0</v>
      </c>
      <c r="P64" s="657"/>
      <c r="Q64" s="654">
        <f t="shared" si="26"/>
        <v>0</v>
      </c>
      <c r="R64" s="68"/>
      <c r="S64" s="654">
        <f t="shared" si="5"/>
        <v>0</v>
      </c>
      <c r="T64" s="68"/>
      <c r="U64" s="654">
        <f t="shared" si="6"/>
        <v>0</v>
      </c>
      <c r="V64" s="659"/>
      <c r="W64" s="658">
        <f t="shared" si="7"/>
        <v>0</v>
      </c>
      <c r="X64" s="68"/>
      <c r="Y64" s="654">
        <f t="shared" si="27"/>
        <v>0</v>
      </c>
      <c r="Z64" s="659"/>
      <c r="AA64" s="658">
        <f t="shared" si="9"/>
        <v>0</v>
      </c>
      <c r="AB64" s="68"/>
      <c r="AC64" s="654">
        <f t="shared" si="10"/>
        <v>0</v>
      </c>
      <c r="AD64" s="660"/>
      <c r="AE64" s="661"/>
      <c r="AF64" s="1300"/>
      <c r="AG64" s="662"/>
      <c r="AH64" s="663"/>
      <c r="AI64" s="664">
        <f t="shared" si="42"/>
        <v>0</v>
      </c>
      <c r="AJ64" s="665">
        <f t="shared" si="50"/>
        <v>0</v>
      </c>
      <c r="AK64" s="1528">
        <v>2</v>
      </c>
      <c r="AL64" s="767"/>
      <c r="AM64" s="647"/>
      <c r="AN64" s="768"/>
      <c r="AO64" s="717"/>
      <c r="AP64" s="1528"/>
    </row>
    <row r="65" spans="1:42" ht="21.75">
      <c r="A65" s="1560"/>
      <c r="B65" s="1562" t="s">
        <v>1007</v>
      </c>
      <c r="C65" s="1569"/>
      <c r="D65" s="1161" t="s">
        <v>211</v>
      </c>
      <c r="E65" s="999">
        <v>6</v>
      </c>
      <c r="F65" s="659"/>
      <c r="G65" s="658">
        <f t="shared" si="30"/>
        <v>0</v>
      </c>
      <c r="H65" s="68"/>
      <c r="I65" s="654">
        <f t="shared" si="0"/>
        <v>0</v>
      </c>
      <c r="J65" s="659"/>
      <c r="K65" s="658">
        <f t="shared" si="1"/>
        <v>0</v>
      </c>
      <c r="L65" s="68"/>
      <c r="M65" s="654">
        <f t="shared" si="2"/>
        <v>0</v>
      </c>
      <c r="N65" s="659"/>
      <c r="O65" s="658">
        <f t="shared" si="3"/>
        <v>0</v>
      </c>
      <c r="P65" s="657"/>
      <c r="Q65" s="654">
        <f t="shared" si="26"/>
        <v>0</v>
      </c>
      <c r="R65" s="68"/>
      <c r="S65" s="654">
        <f t="shared" si="5"/>
        <v>0</v>
      </c>
      <c r="T65" s="68"/>
      <c r="U65" s="654">
        <f t="shared" si="6"/>
        <v>0</v>
      </c>
      <c r="V65" s="659"/>
      <c r="W65" s="658">
        <f t="shared" si="7"/>
        <v>0</v>
      </c>
      <c r="X65" s="68"/>
      <c r="Y65" s="654">
        <f t="shared" si="27"/>
        <v>0</v>
      </c>
      <c r="Z65" s="659"/>
      <c r="AA65" s="658">
        <f t="shared" si="9"/>
        <v>0</v>
      </c>
      <c r="AB65" s="68"/>
      <c r="AC65" s="654">
        <f t="shared" si="10"/>
        <v>0</v>
      </c>
      <c r="AD65" s="660">
        <f>'[1]Commande Souvenirs, librairie'!F28</f>
        <v>5</v>
      </c>
      <c r="AE65" s="661"/>
      <c r="AF65" s="1300"/>
      <c r="AG65" s="662">
        <f>E65-AD65</f>
        <v>1</v>
      </c>
      <c r="AH65" s="663">
        <f>AG65*AJ65</f>
        <v>0</v>
      </c>
      <c r="AI65" s="664">
        <f t="shared" si="42"/>
        <v>0</v>
      </c>
      <c r="AJ65" s="665">
        <f t="shared" si="50"/>
        <v>0</v>
      </c>
      <c r="AK65" s="1528">
        <v>2</v>
      </c>
      <c r="AL65" s="767"/>
      <c r="AM65" s="647"/>
      <c r="AN65" s="768"/>
      <c r="AO65" s="717"/>
      <c r="AP65" s="1528"/>
    </row>
    <row r="66" spans="1:42" ht="21.75">
      <c r="A66" s="1560"/>
      <c r="B66" s="1562" t="s">
        <v>1008</v>
      </c>
      <c r="C66" s="1569"/>
      <c r="D66" s="1161" t="s">
        <v>700</v>
      </c>
      <c r="E66" s="999">
        <v>8</v>
      </c>
      <c r="F66" s="659"/>
      <c r="G66" s="658">
        <f t="shared" si="30"/>
        <v>0</v>
      </c>
      <c r="H66" s="68"/>
      <c r="I66" s="654">
        <f t="shared" si="0"/>
        <v>0</v>
      </c>
      <c r="J66" s="659"/>
      <c r="K66" s="658">
        <f t="shared" si="1"/>
        <v>0</v>
      </c>
      <c r="L66" s="68"/>
      <c r="M66" s="654">
        <f t="shared" si="2"/>
        <v>0</v>
      </c>
      <c r="N66" s="659"/>
      <c r="O66" s="658">
        <f t="shared" si="3"/>
        <v>0</v>
      </c>
      <c r="P66" s="657"/>
      <c r="Q66" s="654">
        <f t="shared" si="26"/>
        <v>0</v>
      </c>
      <c r="R66" s="68"/>
      <c r="S66" s="654">
        <f t="shared" si="5"/>
        <v>0</v>
      </c>
      <c r="T66" s="68"/>
      <c r="U66" s="654">
        <f t="shared" si="6"/>
        <v>0</v>
      </c>
      <c r="V66" s="659"/>
      <c r="W66" s="658">
        <f t="shared" si="7"/>
        <v>0</v>
      </c>
      <c r="X66" s="68"/>
      <c r="Y66" s="654">
        <f t="shared" si="27"/>
        <v>0</v>
      </c>
      <c r="Z66" s="659"/>
      <c r="AA66" s="658">
        <f t="shared" si="9"/>
        <v>0</v>
      </c>
      <c r="AB66" s="68"/>
      <c r="AC66" s="654">
        <f t="shared" si="10"/>
        <v>0</v>
      </c>
      <c r="AD66" s="660"/>
      <c r="AE66" s="661"/>
      <c r="AF66" s="1300"/>
      <c r="AG66" s="662"/>
      <c r="AH66" s="663"/>
      <c r="AI66" s="664">
        <f t="shared" si="42"/>
        <v>0</v>
      </c>
      <c r="AJ66" s="665">
        <f t="shared" si="50"/>
        <v>0</v>
      </c>
      <c r="AK66" s="1528">
        <v>0</v>
      </c>
      <c r="AL66" s="767"/>
      <c r="AM66" s="647"/>
      <c r="AN66" s="768"/>
      <c r="AO66" s="717"/>
      <c r="AP66" s="1528"/>
    </row>
    <row r="67" spans="1:42" ht="21.75">
      <c r="A67" s="1560"/>
      <c r="B67" s="1562" t="s">
        <v>1009</v>
      </c>
      <c r="C67" s="1569"/>
      <c r="D67" s="1172" t="s">
        <v>282</v>
      </c>
      <c r="E67" s="1032">
        <v>32</v>
      </c>
      <c r="F67" s="683"/>
      <c r="G67" s="682">
        <f t="shared" si="30"/>
        <v>0</v>
      </c>
      <c r="H67" s="680"/>
      <c r="I67" s="677">
        <f t="shared" si="0"/>
        <v>0</v>
      </c>
      <c r="J67" s="683"/>
      <c r="K67" s="682">
        <f t="shared" si="1"/>
        <v>0</v>
      </c>
      <c r="L67" s="680"/>
      <c r="M67" s="677">
        <f t="shared" si="2"/>
        <v>0</v>
      </c>
      <c r="N67" s="683"/>
      <c r="O67" s="682">
        <f t="shared" si="3"/>
        <v>0</v>
      </c>
      <c r="P67" s="681"/>
      <c r="Q67" s="677">
        <f t="shared" si="26"/>
        <v>0</v>
      </c>
      <c r="R67" s="680"/>
      <c r="S67" s="654">
        <f t="shared" si="5"/>
        <v>0</v>
      </c>
      <c r="T67" s="680"/>
      <c r="U67" s="677">
        <f t="shared" si="6"/>
        <v>0</v>
      </c>
      <c r="V67" s="683"/>
      <c r="W67" s="682">
        <f t="shared" si="7"/>
        <v>0</v>
      </c>
      <c r="X67" s="680"/>
      <c r="Y67" s="677">
        <f t="shared" si="27"/>
        <v>0</v>
      </c>
      <c r="Z67" s="683"/>
      <c r="AA67" s="682">
        <f t="shared" si="9"/>
        <v>0</v>
      </c>
      <c r="AB67" s="680"/>
      <c r="AC67" s="677">
        <f t="shared" si="10"/>
        <v>0</v>
      </c>
      <c r="AD67" s="684"/>
      <c r="AE67" s="685"/>
      <c r="AF67" s="1300"/>
      <c r="AG67" s="686"/>
      <c r="AH67" s="687"/>
      <c r="AI67" s="664">
        <f t="shared" si="42"/>
        <v>0</v>
      </c>
      <c r="AJ67" s="665">
        <f t="shared" si="50"/>
        <v>0</v>
      </c>
      <c r="AK67" s="1528">
        <v>5</v>
      </c>
      <c r="AL67" s="767"/>
      <c r="AM67" s="647"/>
      <c r="AN67" s="768"/>
      <c r="AO67" s="717"/>
      <c r="AP67" s="1528"/>
    </row>
    <row r="68" spans="1:42" ht="21.75">
      <c r="A68" s="1560"/>
      <c r="B68" s="1562" t="s">
        <v>1010</v>
      </c>
      <c r="C68" s="1570" t="s">
        <v>319</v>
      </c>
      <c r="D68" s="1287" t="s">
        <v>801</v>
      </c>
      <c r="E68" s="1318">
        <v>12.5</v>
      </c>
      <c r="F68" s="925"/>
      <c r="G68" s="927">
        <f t="shared" si="30"/>
        <v>0</v>
      </c>
      <c r="H68" s="158"/>
      <c r="I68" s="928">
        <f t="shared" si="0"/>
        <v>0</v>
      </c>
      <c r="J68" s="925"/>
      <c r="K68" s="927">
        <f t="shared" si="1"/>
        <v>0</v>
      </c>
      <c r="L68" s="158"/>
      <c r="M68" s="928">
        <f t="shared" si="2"/>
        <v>0</v>
      </c>
      <c r="N68" s="925"/>
      <c r="O68" s="927">
        <f t="shared" si="3"/>
        <v>0</v>
      </c>
      <c r="P68" s="1316"/>
      <c r="Q68" s="928">
        <f t="shared" si="26"/>
        <v>0</v>
      </c>
      <c r="R68" s="925"/>
      <c r="S68" s="927">
        <f t="shared" si="5"/>
        <v>0</v>
      </c>
      <c r="T68" s="158"/>
      <c r="U68" s="928">
        <f t="shared" si="6"/>
        <v>0</v>
      </c>
      <c r="V68" s="925"/>
      <c r="W68" s="927">
        <f t="shared" si="7"/>
        <v>0</v>
      </c>
      <c r="X68" s="158"/>
      <c r="Y68" s="928">
        <f t="shared" si="27"/>
        <v>0</v>
      </c>
      <c r="Z68" s="925"/>
      <c r="AA68" s="927">
        <f t="shared" si="9"/>
        <v>0</v>
      </c>
      <c r="AB68" s="158"/>
      <c r="AC68" s="928">
        <f t="shared" si="10"/>
        <v>0</v>
      </c>
      <c r="AD68" s="844"/>
      <c r="AE68" s="845"/>
      <c r="AF68" s="1300"/>
      <c r="AG68" s="751"/>
      <c r="AH68" s="752"/>
      <c r="AI68" s="1571"/>
      <c r="AJ68" s="1572"/>
      <c r="AK68" s="1528">
        <v>10</v>
      </c>
      <c r="AL68" s="737"/>
      <c r="AM68" s="746"/>
      <c r="AN68" s="747"/>
      <c r="AO68" s="748"/>
      <c r="AP68" s="1528"/>
    </row>
    <row r="69" spans="1:42" ht="21.75">
      <c r="A69" s="1560"/>
      <c r="B69" s="1562" t="s">
        <v>1011</v>
      </c>
      <c r="C69" s="1570"/>
      <c r="D69" s="525" t="s">
        <v>802</v>
      </c>
      <c r="E69" s="1318">
        <v>5</v>
      </c>
      <c r="F69" s="925"/>
      <c r="G69" s="927">
        <f t="shared" si="30"/>
        <v>0</v>
      </c>
      <c r="H69" s="158"/>
      <c r="I69" s="928">
        <f t="shared" si="0"/>
        <v>0</v>
      </c>
      <c r="J69" s="925"/>
      <c r="K69" s="927">
        <f t="shared" si="1"/>
        <v>0</v>
      </c>
      <c r="L69" s="158"/>
      <c r="M69" s="928">
        <f t="shared" si="2"/>
        <v>0</v>
      </c>
      <c r="N69" s="925"/>
      <c r="O69" s="927">
        <f t="shared" si="3"/>
        <v>0</v>
      </c>
      <c r="P69" s="1316"/>
      <c r="Q69" s="928">
        <f t="shared" si="26"/>
        <v>0</v>
      </c>
      <c r="R69" s="925"/>
      <c r="S69" s="927">
        <f t="shared" si="5"/>
        <v>0</v>
      </c>
      <c r="T69" s="158"/>
      <c r="U69" s="928">
        <f t="shared" si="6"/>
        <v>0</v>
      </c>
      <c r="V69" s="925"/>
      <c r="W69" s="927">
        <f t="shared" si="7"/>
        <v>0</v>
      </c>
      <c r="X69" s="158"/>
      <c r="Y69" s="928">
        <f t="shared" si="27"/>
        <v>0</v>
      </c>
      <c r="Z69" s="925"/>
      <c r="AA69" s="927">
        <f t="shared" si="9"/>
        <v>0</v>
      </c>
      <c r="AB69" s="158"/>
      <c r="AC69" s="928">
        <f t="shared" si="10"/>
        <v>0</v>
      </c>
      <c r="AD69" s="844"/>
      <c r="AE69" s="845"/>
      <c r="AF69" s="1300"/>
      <c r="AG69" s="751"/>
      <c r="AH69" s="752"/>
      <c r="AI69" s="1571">
        <f aca="true" t="shared" si="51" ref="AI69:AI101">SUM(AC69+AA69+Y69+W69+U69+S69+Q69+O69+M69+K69+I69+G69)</f>
        <v>0</v>
      </c>
      <c r="AJ69" s="1572">
        <f aca="true" t="shared" si="52" ref="AJ69:AJ101">SUM(F69+H69+J69+L69+N69+P69+R69+T69+V69+X69+Z69+AB69)</f>
        <v>0</v>
      </c>
      <c r="AK69" s="1528">
        <f>15+9</f>
        <v>24</v>
      </c>
      <c r="AL69" s="737"/>
      <c r="AM69" s="746"/>
      <c r="AN69" s="747"/>
      <c r="AO69" s="748"/>
      <c r="AP69" s="1528"/>
    </row>
    <row r="70" spans="1:42" ht="21.75">
      <c r="A70" s="1560"/>
      <c r="B70" s="1562" t="s">
        <v>1012</v>
      </c>
      <c r="C70" s="1570"/>
      <c r="D70" s="525" t="s">
        <v>1013</v>
      </c>
      <c r="E70" s="1318">
        <v>15</v>
      </c>
      <c r="F70" s="925"/>
      <c r="G70" s="927">
        <f t="shared" si="30"/>
        <v>0</v>
      </c>
      <c r="H70" s="158"/>
      <c r="I70" s="928">
        <f t="shared" si="0"/>
        <v>0</v>
      </c>
      <c r="J70" s="925"/>
      <c r="K70" s="927">
        <f t="shared" si="1"/>
        <v>0</v>
      </c>
      <c r="L70" s="158"/>
      <c r="M70" s="928">
        <f t="shared" si="2"/>
        <v>0</v>
      </c>
      <c r="N70" s="925"/>
      <c r="O70" s="927">
        <f t="shared" si="3"/>
        <v>0</v>
      </c>
      <c r="P70" s="1316"/>
      <c r="Q70" s="928">
        <f t="shared" si="26"/>
        <v>0</v>
      </c>
      <c r="R70" s="925"/>
      <c r="S70" s="927">
        <f t="shared" si="5"/>
        <v>0</v>
      </c>
      <c r="T70" s="158"/>
      <c r="U70" s="928">
        <f t="shared" si="6"/>
        <v>0</v>
      </c>
      <c r="V70" s="925"/>
      <c r="W70" s="927">
        <f t="shared" si="7"/>
        <v>0</v>
      </c>
      <c r="X70" s="158"/>
      <c r="Y70" s="928">
        <f t="shared" si="27"/>
        <v>0</v>
      </c>
      <c r="Z70" s="925"/>
      <c r="AA70" s="927">
        <f t="shared" si="9"/>
        <v>0</v>
      </c>
      <c r="AB70" s="158"/>
      <c r="AC70" s="928">
        <f t="shared" si="10"/>
        <v>0</v>
      </c>
      <c r="AD70" s="844"/>
      <c r="AE70" s="845"/>
      <c r="AF70" s="1300"/>
      <c r="AG70" s="751"/>
      <c r="AH70" s="752"/>
      <c r="AI70" s="1571">
        <f t="shared" si="51"/>
        <v>0</v>
      </c>
      <c r="AJ70" s="1572">
        <f t="shared" si="52"/>
        <v>0</v>
      </c>
      <c r="AK70" s="1528">
        <v>10</v>
      </c>
      <c r="AL70" s="737"/>
      <c r="AM70" s="746"/>
      <c r="AN70" s="747"/>
      <c r="AO70" s="748"/>
      <c r="AP70" s="1528"/>
    </row>
    <row r="71" spans="1:42" ht="21.75">
      <c r="A71" s="1560"/>
      <c r="B71" s="1562" t="s">
        <v>1014</v>
      </c>
      <c r="C71" s="1570"/>
      <c r="D71" s="525" t="s">
        <v>322</v>
      </c>
      <c r="E71" s="1318">
        <v>9.5</v>
      </c>
      <c r="F71" s="925"/>
      <c r="G71" s="927">
        <f t="shared" si="30"/>
        <v>0</v>
      </c>
      <c r="H71" s="158"/>
      <c r="I71" s="928">
        <f t="shared" si="0"/>
        <v>0</v>
      </c>
      <c r="J71" s="925"/>
      <c r="K71" s="927">
        <f t="shared" si="1"/>
        <v>0</v>
      </c>
      <c r="L71" s="158"/>
      <c r="M71" s="928">
        <f t="shared" si="2"/>
        <v>0</v>
      </c>
      <c r="N71" s="925"/>
      <c r="O71" s="927">
        <f t="shared" si="3"/>
        <v>0</v>
      </c>
      <c r="P71" s="1316"/>
      <c r="Q71" s="928">
        <f t="shared" si="26"/>
        <v>0</v>
      </c>
      <c r="R71" s="925"/>
      <c r="S71" s="927">
        <f t="shared" si="5"/>
        <v>0</v>
      </c>
      <c r="T71" s="158"/>
      <c r="U71" s="928">
        <f t="shared" si="6"/>
        <v>0</v>
      </c>
      <c r="V71" s="925"/>
      <c r="W71" s="927">
        <f t="shared" si="7"/>
        <v>0</v>
      </c>
      <c r="X71" s="158"/>
      <c r="Y71" s="928">
        <f t="shared" si="27"/>
        <v>0</v>
      </c>
      <c r="Z71" s="925"/>
      <c r="AA71" s="927">
        <f t="shared" si="9"/>
        <v>0</v>
      </c>
      <c r="AB71" s="158"/>
      <c r="AC71" s="928">
        <f t="shared" si="10"/>
        <v>0</v>
      </c>
      <c r="AD71" s="844"/>
      <c r="AE71" s="845"/>
      <c r="AF71" s="1300"/>
      <c r="AG71" s="751"/>
      <c r="AH71" s="752"/>
      <c r="AI71" s="1571">
        <f t="shared" si="51"/>
        <v>0</v>
      </c>
      <c r="AJ71" s="1572">
        <f t="shared" si="52"/>
        <v>0</v>
      </c>
      <c r="AK71" s="1528">
        <v>16</v>
      </c>
      <c r="AL71" s="737"/>
      <c r="AM71" s="746"/>
      <c r="AN71" s="747"/>
      <c r="AO71" s="748"/>
      <c r="AP71" s="1528"/>
    </row>
    <row r="72" spans="1:42" ht="21.75">
      <c r="A72" s="1560"/>
      <c r="B72" s="1562" t="s">
        <v>1015</v>
      </c>
      <c r="C72" s="1573" t="s">
        <v>1016</v>
      </c>
      <c r="D72" s="1157" t="s">
        <v>261</v>
      </c>
      <c r="E72" s="999">
        <v>3.5</v>
      </c>
      <c r="F72" s="659"/>
      <c r="G72" s="658">
        <f t="shared" si="30"/>
        <v>0</v>
      </c>
      <c r="H72" s="68"/>
      <c r="I72" s="654">
        <f t="shared" si="0"/>
        <v>0</v>
      </c>
      <c r="J72" s="659"/>
      <c r="K72" s="658">
        <f t="shared" si="1"/>
        <v>0</v>
      </c>
      <c r="L72" s="68"/>
      <c r="M72" s="654">
        <f t="shared" si="2"/>
        <v>0</v>
      </c>
      <c r="N72" s="659"/>
      <c r="O72" s="658">
        <f t="shared" si="3"/>
        <v>0</v>
      </c>
      <c r="P72" s="657"/>
      <c r="Q72" s="654">
        <f t="shared" si="26"/>
        <v>0</v>
      </c>
      <c r="R72" s="68"/>
      <c r="S72" s="654">
        <f t="shared" si="5"/>
        <v>0</v>
      </c>
      <c r="T72" s="68"/>
      <c r="U72" s="654">
        <f t="shared" si="6"/>
        <v>0</v>
      </c>
      <c r="V72" s="659"/>
      <c r="W72" s="658">
        <f t="shared" si="7"/>
        <v>0</v>
      </c>
      <c r="X72" s="68"/>
      <c r="Y72" s="654">
        <f t="shared" si="27"/>
        <v>0</v>
      </c>
      <c r="Z72" s="659"/>
      <c r="AA72" s="658">
        <f t="shared" si="9"/>
        <v>0</v>
      </c>
      <c r="AB72" s="68"/>
      <c r="AC72" s="654">
        <f t="shared" si="10"/>
        <v>0</v>
      </c>
      <c r="AD72" s="660">
        <f>'[1]Commande Souvenirs, librairie'!F76</f>
        <v>2.52</v>
      </c>
      <c r="AE72" s="661"/>
      <c r="AF72" s="1300"/>
      <c r="AG72" s="662">
        <f aca="true" t="shared" si="53" ref="AG72:AG78">E72-AD72</f>
        <v>0.98</v>
      </c>
      <c r="AH72" s="663">
        <f aca="true" t="shared" si="54" ref="AH72:AH78">AG72*AJ72</f>
        <v>0</v>
      </c>
      <c r="AI72" s="664">
        <f t="shared" si="51"/>
        <v>0</v>
      </c>
      <c r="AJ72" s="665">
        <f t="shared" si="52"/>
        <v>0</v>
      </c>
      <c r="AK72" s="1528">
        <v>27</v>
      </c>
      <c r="AL72" s="767"/>
      <c r="AM72" s="647"/>
      <c r="AN72" s="768"/>
      <c r="AO72" s="717"/>
      <c r="AP72" s="1528"/>
    </row>
    <row r="73" spans="1:42" ht="21.75" customHeight="1">
      <c r="A73" s="1560"/>
      <c r="B73" s="1562" t="s">
        <v>1017</v>
      </c>
      <c r="C73" s="1574" t="s">
        <v>1016</v>
      </c>
      <c r="D73" s="1159" t="s">
        <v>338</v>
      </c>
      <c r="E73" s="999">
        <v>4.5</v>
      </c>
      <c r="F73" s="659"/>
      <c r="G73" s="658">
        <f t="shared" si="30"/>
        <v>0</v>
      </c>
      <c r="H73" s="68"/>
      <c r="I73" s="654">
        <f t="shared" si="0"/>
        <v>0</v>
      </c>
      <c r="J73" s="659"/>
      <c r="K73" s="658">
        <f t="shared" si="1"/>
        <v>0</v>
      </c>
      <c r="L73" s="68"/>
      <c r="M73" s="654">
        <f t="shared" si="2"/>
        <v>0</v>
      </c>
      <c r="N73" s="659"/>
      <c r="O73" s="658">
        <f t="shared" si="3"/>
        <v>0</v>
      </c>
      <c r="P73" s="657"/>
      <c r="Q73" s="654">
        <f t="shared" si="26"/>
        <v>0</v>
      </c>
      <c r="R73" s="68"/>
      <c r="S73" s="654">
        <f t="shared" si="5"/>
        <v>0</v>
      </c>
      <c r="T73" s="68"/>
      <c r="U73" s="654">
        <f t="shared" si="6"/>
        <v>0</v>
      </c>
      <c r="V73" s="659"/>
      <c r="W73" s="658">
        <f t="shared" si="7"/>
        <v>0</v>
      </c>
      <c r="X73" s="68"/>
      <c r="Y73" s="654">
        <f t="shared" si="27"/>
        <v>0</v>
      </c>
      <c r="Z73" s="659"/>
      <c r="AA73" s="658">
        <f t="shared" si="9"/>
        <v>0</v>
      </c>
      <c r="AB73" s="68"/>
      <c r="AC73" s="654">
        <f t="shared" si="10"/>
        <v>0</v>
      </c>
      <c r="AD73" s="660">
        <f>'[1]Commande Souvenirs, librairie'!F75</f>
        <v>3.6</v>
      </c>
      <c r="AE73" s="661"/>
      <c r="AF73" s="1300"/>
      <c r="AG73" s="662">
        <f t="shared" si="53"/>
        <v>0.8999999999999999</v>
      </c>
      <c r="AH73" s="663">
        <f t="shared" si="54"/>
        <v>0</v>
      </c>
      <c r="AI73" s="664">
        <f t="shared" si="51"/>
        <v>0</v>
      </c>
      <c r="AJ73" s="665">
        <f t="shared" si="52"/>
        <v>0</v>
      </c>
      <c r="AK73" s="1528">
        <v>19</v>
      </c>
      <c r="AL73" s="767"/>
      <c r="AM73" s="647"/>
      <c r="AN73" s="768"/>
      <c r="AO73" s="717"/>
      <c r="AP73" s="1528"/>
    </row>
    <row r="74" spans="1:42" ht="21.75" customHeight="1">
      <c r="A74" s="1173" t="s">
        <v>1018</v>
      </c>
      <c r="B74" s="1575" t="s">
        <v>1019</v>
      </c>
      <c r="C74" s="1574"/>
      <c r="D74" s="1159" t="s">
        <v>342</v>
      </c>
      <c r="E74" s="999">
        <v>10</v>
      </c>
      <c r="F74" s="659"/>
      <c r="G74" s="658">
        <f t="shared" si="30"/>
        <v>0</v>
      </c>
      <c r="H74" s="68"/>
      <c r="I74" s="654">
        <f t="shared" si="0"/>
        <v>0</v>
      </c>
      <c r="J74" s="659"/>
      <c r="K74" s="658">
        <f t="shared" si="1"/>
        <v>0</v>
      </c>
      <c r="L74" s="68"/>
      <c r="M74" s="654">
        <f t="shared" si="2"/>
        <v>0</v>
      </c>
      <c r="N74" s="659"/>
      <c r="O74" s="658">
        <f t="shared" si="3"/>
        <v>0</v>
      </c>
      <c r="P74" s="657"/>
      <c r="Q74" s="654">
        <f t="shared" si="26"/>
        <v>0</v>
      </c>
      <c r="R74" s="68"/>
      <c r="S74" s="654">
        <f t="shared" si="5"/>
        <v>0</v>
      </c>
      <c r="T74" s="68"/>
      <c r="U74" s="654">
        <f t="shared" si="6"/>
        <v>0</v>
      </c>
      <c r="V74" s="659"/>
      <c r="W74" s="658">
        <f t="shared" si="7"/>
        <v>0</v>
      </c>
      <c r="X74" s="68"/>
      <c r="Y74" s="654">
        <f t="shared" si="27"/>
        <v>0</v>
      </c>
      <c r="Z74" s="659"/>
      <c r="AA74" s="658">
        <f t="shared" si="9"/>
        <v>0</v>
      </c>
      <c r="AB74" s="68"/>
      <c r="AC74" s="654">
        <f t="shared" si="10"/>
        <v>0</v>
      </c>
      <c r="AD74" s="660">
        <f>'[1]Commande Souvenirs, librairie'!F80</f>
        <v>7.02</v>
      </c>
      <c r="AE74" s="661"/>
      <c r="AF74" s="1300"/>
      <c r="AG74" s="662">
        <f t="shared" si="53"/>
        <v>2.9800000000000004</v>
      </c>
      <c r="AH74" s="663">
        <f t="shared" si="54"/>
        <v>0</v>
      </c>
      <c r="AI74" s="664">
        <f t="shared" si="51"/>
        <v>0</v>
      </c>
      <c r="AJ74" s="665">
        <f t="shared" si="52"/>
        <v>0</v>
      </c>
      <c r="AK74" s="1528">
        <v>24</v>
      </c>
      <c r="AL74" s="767"/>
      <c r="AM74" s="647"/>
      <c r="AN74" s="768"/>
      <c r="AO74" s="717"/>
      <c r="AP74" s="1528"/>
    </row>
    <row r="75" spans="1:42" ht="20.25">
      <c r="A75" s="1173"/>
      <c r="B75" s="1576" t="s">
        <v>1020</v>
      </c>
      <c r="C75" s="1574"/>
      <c r="D75" s="1159" t="s">
        <v>340</v>
      </c>
      <c r="E75" s="999">
        <v>12.5</v>
      </c>
      <c r="F75" s="659"/>
      <c r="G75" s="658">
        <f t="shared" si="30"/>
        <v>0</v>
      </c>
      <c r="H75" s="68"/>
      <c r="I75" s="654">
        <f t="shared" si="0"/>
        <v>0</v>
      </c>
      <c r="J75" s="659"/>
      <c r="K75" s="658">
        <f t="shared" si="1"/>
        <v>0</v>
      </c>
      <c r="L75" s="68"/>
      <c r="M75" s="654">
        <f t="shared" si="2"/>
        <v>0</v>
      </c>
      <c r="N75" s="659"/>
      <c r="O75" s="658">
        <f t="shared" si="3"/>
        <v>0</v>
      </c>
      <c r="P75" s="657"/>
      <c r="Q75" s="654">
        <f t="shared" si="26"/>
        <v>0</v>
      </c>
      <c r="R75" s="68"/>
      <c r="S75" s="654">
        <f t="shared" si="5"/>
        <v>0</v>
      </c>
      <c r="T75" s="68"/>
      <c r="U75" s="654">
        <f t="shared" si="6"/>
        <v>0</v>
      </c>
      <c r="V75" s="659"/>
      <c r="W75" s="658">
        <f t="shared" si="7"/>
        <v>0</v>
      </c>
      <c r="X75" s="68"/>
      <c r="Y75" s="654">
        <f t="shared" si="27"/>
        <v>0</v>
      </c>
      <c r="Z75" s="659"/>
      <c r="AA75" s="658">
        <f t="shared" si="9"/>
        <v>0</v>
      </c>
      <c r="AB75" s="68"/>
      <c r="AC75" s="654">
        <f t="shared" si="10"/>
        <v>0</v>
      </c>
      <c r="AD75" s="660">
        <f>'[1]Commande Souvenirs, librairie'!F77</f>
        <v>9.996</v>
      </c>
      <c r="AE75" s="661"/>
      <c r="AF75" s="1300"/>
      <c r="AG75" s="662">
        <f t="shared" si="53"/>
        <v>2.5039999999999996</v>
      </c>
      <c r="AH75" s="663">
        <f t="shared" si="54"/>
        <v>0</v>
      </c>
      <c r="AI75" s="664">
        <f t="shared" si="51"/>
        <v>0</v>
      </c>
      <c r="AJ75" s="665">
        <f t="shared" si="52"/>
        <v>0</v>
      </c>
      <c r="AK75" s="1528">
        <v>7</v>
      </c>
      <c r="AL75" s="767"/>
      <c r="AM75" s="647"/>
      <c r="AN75" s="768"/>
      <c r="AO75" s="717"/>
      <c r="AP75" s="1528"/>
    </row>
    <row r="76" spans="1:42" ht="20.25">
      <c r="A76" s="1173"/>
      <c r="B76" s="1576" t="s">
        <v>1021</v>
      </c>
      <c r="C76" s="1574"/>
      <c r="D76" s="1162" t="s">
        <v>343</v>
      </c>
      <c r="E76" s="1011">
        <v>21</v>
      </c>
      <c r="F76" s="706"/>
      <c r="G76" s="705">
        <f t="shared" si="30"/>
        <v>0</v>
      </c>
      <c r="H76" s="703"/>
      <c r="I76" s="700">
        <f t="shared" si="0"/>
        <v>0</v>
      </c>
      <c r="J76" s="706"/>
      <c r="K76" s="705">
        <f t="shared" si="1"/>
        <v>0</v>
      </c>
      <c r="L76" s="703"/>
      <c r="M76" s="700">
        <f t="shared" si="2"/>
        <v>0</v>
      </c>
      <c r="N76" s="706"/>
      <c r="O76" s="705">
        <f t="shared" si="3"/>
        <v>0</v>
      </c>
      <c r="P76" s="704">
        <v>1</v>
      </c>
      <c r="Q76" s="700">
        <f t="shared" si="26"/>
        <v>21</v>
      </c>
      <c r="R76" s="703"/>
      <c r="S76" s="700">
        <f t="shared" si="5"/>
        <v>0</v>
      </c>
      <c r="T76" s="703"/>
      <c r="U76" s="700">
        <f t="shared" si="6"/>
        <v>0</v>
      </c>
      <c r="V76" s="706"/>
      <c r="W76" s="705">
        <f t="shared" si="7"/>
        <v>0</v>
      </c>
      <c r="X76" s="703"/>
      <c r="Y76" s="700">
        <f t="shared" si="27"/>
        <v>0</v>
      </c>
      <c r="Z76" s="706"/>
      <c r="AA76" s="705">
        <f t="shared" si="9"/>
        <v>0</v>
      </c>
      <c r="AB76" s="703"/>
      <c r="AC76" s="700">
        <f t="shared" si="10"/>
        <v>0</v>
      </c>
      <c r="AD76" s="707">
        <f>'[1]Commande Souvenirs, librairie'!F81</f>
        <v>16.919999999999998</v>
      </c>
      <c r="AE76" s="708"/>
      <c r="AF76" s="1300"/>
      <c r="AG76" s="709">
        <f t="shared" si="53"/>
        <v>4.080000000000002</v>
      </c>
      <c r="AH76" s="710">
        <f t="shared" si="54"/>
        <v>4.080000000000002</v>
      </c>
      <c r="AI76" s="711">
        <f t="shared" si="51"/>
        <v>21</v>
      </c>
      <c r="AJ76" s="712">
        <f t="shared" si="52"/>
        <v>1</v>
      </c>
      <c r="AK76" s="1528">
        <v>8</v>
      </c>
      <c r="AL76" s="767"/>
      <c r="AM76" s="647"/>
      <c r="AN76" s="768"/>
      <c r="AO76" s="717"/>
      <c r="AP76" s="1528"/>
    </row>
    <row r="77" spans="1:42" ht="21.75" customHeight="1">
      <c r="A77" s="1173"/>
      <c r="B77" s="1576" t="s">
        <v>1022</v>
      </c>
      <c r="C77" s="1045" t="s">
        <v>707</v>
      </c>
      <c r="D77" s="1156" t="s">
        <v>708</v>
      </c>
      <c r="E77" s="986">
        <v>26.5</v>
      </c>
      <c r="F77" s="637"/>
      <c r="G77" s="636">
        <f t="shared" si="30"/>
        <v>0</v>
      </c>
      <c r="H77" s="634"/>
      <c r="I77" s="631">
        <f t="shared" si="0"/>
        <v>0</v>
      </c>
      <c r="J77" s="637"/>
      <c r="K77" s="636">
        <f t="shared" si="1"/>
        <v>0</v>
      </c>
      <c r="L77" s="634"/>
      <c r="M77" s="631">
        <f t="shared" si="2"/>
        <v>0</v>
      </c>
      <c r="N77" s="637"/>
      <c r="O77" s="636">
        <f t="shared" si="3"/>
        <v>0</v>
      </c>
      <c r="P77" s="635"/>
      <c r="Q77" s="631">
        <f t="shared" si="26"/>
        <v>0</v>
      </c>
      <c r="R77" s="634"/>
      <c r="S77" s="631">
        <f t="shared" si="5"/>
        <v>0</v>
      </c>
      <c r="T77" s="634"/>
      <c r="U77" s="631">
        <f t="shared" si="6"/>
        <v>0</v>
      </c>
      <c r="V77" s="637"/>
      <c r="W77" s="636">
        <f t="shared" si="7"/>
        <v>0</v>
      </c>
      <c r="X77" s="634"/>
      <c r="Y77" s="631">
        <f t="shared" si="27"/>
        <v>0</v>
      </c>
      <c r="Z77" s="637"/>
      <c r="AA77" s="636">
        <f t="shared" si="9"/>
        <v>0</v>
      </c>
      <c r="AB77" s="634"/>
      <c r="AC77" s="631">
        <f t="shared" si="10"/>
        <v>0</v>
      </c>
      <c r="AD77" s="638">
        <f>'[1]Commande Souvenirs, librairie'!F85</f>
        <v>21</v>
      </c>
      <c r="AE77" s="639"/>
      <c r="AF77" s="1300"/>
      <c r="AG77" s="641">
        <f t="shared" si="53"/>
        <v>5.5</v>
      </c>
      <c r="AH77" s="642">
        <f t="shared" si="54"/>
        <v>0</v>
      </c>
      <c r="AI77" s="643">
        <f t="shared" si="51"/>
        <v>0</v>
      </c>
      <c r="AJ77" s="644">
        <f t="shared" si="52"/>
        <v>0</v>
      </c>
      <c r="AK77" s="1528">
        <v>5</v>
      </c>
      <c r="AL77" s="767"/>
      <c r="AM77" s="647">
        <f>AK77+AL77</f>
        <v>5</v>
      </c>
      <c r="AN77" s="768">
        <f>AL77-AM77</f>
        <v>-5</v>
      </c>
      <c r="AO77" s="717">
        <f>AJ77-AN77</f>
        <v>5</v>
      </c>
      <c r="AP77" s="1528"/>
    </row>
    <row r="78" spans="1:42" ht="20.25">
      <c r="A78" s="1173"/>
      <c r="B78" s="1576" t="s">
        <v>1023</v>
      </c>
      <c r="C78" s="1026"/>
      <c r="D78" s="1236" t="s">
        <v>709</v>
      </c>
      <c r="E78" s="999">
        <v>10</v>
      </c>
      <c r="F78" s="659"/>
      <c r="G78" s="658">
        <f t="shared" si="30"/>
        <v>0</v>
      </c>
      <c r="H78" s="68"/>
      <c r="I78" s="654">
        <f t="shared" si="0"/>
        <v>0</v>
      </c>
      <c r="J78" s="659"/>
      <c r="K78" s="658">
        <f t="shared" si="1"/>
        <v>0</v>
      </c>
      <c r="L78" s="68"/>
      <c r="M78" s="654">
        <f t="shared" si="2"/>
        <v>0</v>
      </c>
      <c r="N78" s="659"/>
      <c r="O78" s="658">
        <f t="shared" si="3"/>
        <v>0</v>
      </c>
      <c r="P78" s="657"/>
      <c r="Q78" s="654">
        <f t="shared" si="26"/>
        <v>0</v>
      </c>
      <c r="R78" s="68"/>
      <c r="S78" s="654">
        <f t="shared" si="5"/>
        <v>0</v>
      </c>
      <c r="T78" s="68"/>
      <c r="U78" s="654">
        <f t="shared" si="6"/>
        <v>0</v>
      </c>
      <c r="V78" s="659"/>
      <c r="W78" s="658">
        <f t="shared" si="7"/>
        <v>0</v>
      </c>
      <c r="X78" s="68"/>
      <c r="Y78" s="654">
        <f t="shared" si="27"/>
        <v>0</v>
      </c>
      <c r="Z78" s="659"/>
      <c r="AA78" s="658">
        <f t="shared" si="9"/>
        <v>0</v>
      </c>
      <c r="AB78" s="68"/>
      <c r="AC78" s="654">
        <f t="shared" si="10"/>
        <v>0</v>
      </c>
      <c r="AD78" s="660">
        <f>'[1]Commande Souvenirs, librairie'!F83</f>
        <v>7.5</v>
      </c>
      <c r="AE78" s="661"/>
      <c r="AF78" s="1300"/>
      <c r="AG78" s="662">
        <f t="shared" si="53"/>
        <v>2.5</v>
      </c>
      <c r="AH78" s="663">
        <f t="shared" si="54"/>
        <v>0</v>
      </c>
      <c r="AI78" s="664">
        <f t="shared" si="51"/>
        <v>0</v>
      </c>
      <c r="AJ78" s="665">
        <f t="shared" si="52"/>
        <v>0</v>
      </c>
      <c r="AK78" s="1528">
        <v>16</v>
      </c>
      <c r="AL78" s="767"/>
      <c r="AM78" s="647"/>
      <c r="AN78" s="768"/>
      <c r="AO78" s="717"/>
      <c r="AP78" s="1528"/>
    </row>
    <row r="79" spans="1:42" ht="21.75" customHeight="1">
      <c r="A79" s="1150" t="s">
        <v>1024</v>
      </c>
      <c r="B79" s="1577" t="s">
        <v>1025</v>
      </c>
      <c r="C79" s="1578" t="s">
        <v>319</v>
      </c>
      <c r="D79" s="1223" t="s">
        <v>796</v>
      </c>
      <c r="E79" s="1257">
        <v>1.3</v>
      </c>
      <c r="F79" s="1259"/>
      <c r="G79" s="1260">
        <f t="shared" si="30"/>
        <v>0</v>
      </c>
      <c r="H79" s="118"/>
      <c r="I79" s="923">
        <f t="shared" si="0"/>
        <v>0</v>
      </c>
      <c r="J79" s="1259"/>
      <c r="K79" s="1260">
        <f t="shared" si="1"/>
        <v>0</v>
      </c>
      <c r="L79" s="118"/>
      <c r="M79" s="923">
        <f t="shared" si="2"/>
        <v>0</v>
      </c>
      <c r="N79" s="1259"/>
      <c r="O79" s="1260">
        <f t="shared" si="3"/>
        <v>0</v>
      </c>
      <c r="P79" s="1261"/>
      <c r="Q79" s="923">
        <f t="shared" si="26"/>
        <v>0</v>
      </c>
      <c r="R79" s="1259"/>
      <c r="S79" s="1260">
        <f t="shared" si="5"/>
        <v>0</v>
      </c>
      <c r="T79" s="118"/>
      <c r="U79" s="923">
        <f t="shared" si="6"/>
        <v>0</v>
      </c>
      <c r="V79" s="1259"/>
      <c r="W79" s="1260">
        <f t="shared" si="7"/>
        <v>0</v>
      </c>
      <c r="X79" s="118"/>
      <c r="Y79" s="923">
        <f t="shared" si="27"/>
        <v>0</v>
      </c>
      <c r="Z79" s="1259"/>
      <c r="AA79" s="1260">
        <f t="shared" si="9"/>
        <v>0</v>
      </c>
      <c r="AB79" s="118"/>
      <c r="AC79" s="923">
        <f t="shared" si="10"/>
        <v>0</v>
      </c>
      <c r="AD79" s="1068"/>
      <c r="AE79" s="815"/>
      <c r="AF79" s="1579"/>
      <c r="AG79" s="743"/>
      <c r="AH79" s="744"/>
      <c r="AI79" s="1465">
        <f t="shared" si="51"/>
        <v>0</v>
      </c>
      <c r="AJ79" s="1466">
        <f t="shared" si="52"/>
        <v>0</v>
      </c>
      <c r="AK79" s="1528">
        <v>15</v>
      </c>
      <c r="AL79" s="737"/>
      <c r="AM79" s="746"/>
      <c r="AN79" s="747"/>
      <c r="AO79" s="748"/>
      <c r="AP79" s="1528"/>
    </row>
    <row r="80" spans="1:42" ht="21.75">
      <c r="A80" s="1150"/>
      <c r="B80" s="1580" t="s">
        <v>1026</v>
      </c>
      <c r="C80" s="1578"/>
      <c r="D80" s="525" t="s">
        <v>797</v>
      </c>
      <c r="E80" s="1318">
        <v>1.3</v>
      </c>
      <c r="F80" s="925"/>
      <c r="G80" s="927">
        <f t="shared" si="30"/>
        <v>0</v>
      </c>
      <c r="H80" s="158"/>
      <c r="I80" s="928">
        <f t="shared" si="0"/>
        <v>0</v>
      </c>
      <c r="J80" s="925"/>
      <c r="K80" s="927">
        <f t="shared" si="1"/>
        <v>0</v>
      </c>
      <c r="L80" s="158"/>
      <c r="M80" s="928">
        <f t="shared" si="2"/>
        <v>0</v>
      </c>
      <c r="N80" s="925"/>
      <c r="O80" s="927">
        <f t="shared" si="3"/>
        <v>0</v>
      </c>
      <c r="P80" s="1316"/>
      <c r="Q80" s="928">
        <f t="shared" si="26"/>
        <v>0</v>
      </c>
      <c r="R80" s="925"/>
      <c r="S80" s="927">
        <f t="shared" si="5"/>
        <v>0</v>
      </c>
      <c r="T80" s="158"/>
      <c r="U80" s="928">
        <f t="shared" si="6"/>
        <v>0</v>
      </c>
      <c r="V80" s="925"/>
      <c r="W80" s="927">
        <f t="shared" si="7"/>
        <v>0</v>
      </c>
      <c r="X80" s="158"/>
      <c r="Y80" s="928">
        <f t="shared" si="27"/>
        <v>0</v>
      </c>
      <c r="Z80" s="925"/>
      <c r="AA80" s="927">
        <f t="shared" si="9"/>
        <v>0</v>
      </c>
      <c r="AB80" s="158"/>
      <c r="AC80" s="928">
        <f t="shared" si="10"/>
        <v>0</v>
      </c>
      <c r="AD80" s="844"/>
      <c r="AE80" s="845"/>
      <c r="AF80" s="1300"/>
      <c r="AG80" s="751"/>
      <c r="AH80" s="752"/>
      <c r="AI80" s="1571">
        <f t="shared" si="51"/>
        <v>0</v>
      </c>
      <c r="AJ80" s="1572">
        <f t="shared" si="52"/>
        <v>0</v>
      </c>
      <c r="AK80" s="1528">
        <v>14</v>
      </c>
      <c r="AL80" s="737"/>
      <c r="AM80" s="746"/>
      <c r="AN80" s="747"/>
      <c r="AO80" s="748"/>
      <c r="AP80" s="1528"/>
    </row>
    <row r="81" spans="1:42" ht="21.75">
      <c r="A81" s="1150"/>
      <c r="B81" s="1580" t="s">
        <v>1027</v>
      </c>
      <c r="C81" s="1578"/>
      <c r="D81" s="525" t="s">
        <v>799</v>
      </c>
      <c r="E81" s="1318">
        <v>1.3</v>
      </c>
      <c r="F81" s="925"/>
      <c r="G81" s="927">
        <f t="shared" si="30"/>
        <v>0</v>
      </c>
      <c r="H81" s="158"/>
      <c r="I81" s="928">
        <f t="shared" si="0"/>
        <v>0</v>
      </c>
      <c r="J81" s="925"/>
      <c r="K81" s="927">
        <f t="shared" si="1"/>
        <v>0</v>
      </c>
      <c r="L81" s="158"/>
      <c r="M81" s="928">
        <f t="shared" si="2"/>
        <v>0</v>
      </c>
      <c r="N81" s="925"/>
      <c r="O81" s="927">
        <f t="shared" si="3"/>
        <v>0</v>
      </c>
      <c r="P81" s="1316"/>
      <c r="Q81" s="928">
        <f t="shared" si="26"/>
        <v>0</v>
      </c>
      <c r="R81" s="925"/>
      <c r="S81" s="927">
        <f t="shared" si="5"/>
        <v>0</v>
      </c>
      <c r="T81" s="158"/>
      <c r="U81" s="928">
        <f t="shared" si="6"/>
        <v>0</v>
      </c>
      <c r="V81" s="925"/>
      <c r="W81" s="927">
        <f t="shared" si="7"/>
        <v>0</v>
      </c>
      <c r="X81" s="158"/>
      <c r="Y81" s="928">
        <f t="shared" si="27"/>
        <v>0</v>
      </c>
      <c r="Z81" s="925"/>
      <c r="AA81" s="927">
        <f t="shared" si="9"/>
        <v>0</v>
      </c>
      <c r="AB81" s="158"/>
      <c r="AC81" s="928">
        <f t="shared" si="10"/>
        <v>0</v>
      </c>
      <c r="AD81" s="844"/>
      <c r="AE81" s="845"/>
      <c r="AF81" s="1300"/>
      <c r="AG81" s="751"/>
      <c r="AH81" s="752"/>
      <c r="AI81" s="1571">
        <f t="shared" si="51"/>
        <v>0</v>
      </c>
      <c r="AJ81" s="1572">
        <f t="shared" si="52"/>
        <v>0</v>
      </c>
      <c r="AK81" s="1528">
        <v>11</v>
      </c>
      <c r="AL81" s="737"/>
      <c r="AM81" s="746"/>
      <c r="AN81" s="747"/>
      <c r="AO81" s="748"/>
      <c r="AP81" s="1528"/>
    </row>
    <row r="82" spans="1:42" ht="21.75">
      <c r="A82" s="1150"/>
      <c r="B82" s="1580" t="s">
        <v>1028</v>
      </c>
      <c r="C82" s="1578"/>
      <c r="D82" s="1317" t="s">
        <v>800</v>
      </c>
      <c r="E82" s="1318">
        <v>1.3</v>
      </c>
      <c r="F82" s="925"/>
      <c r="G82" s="927">
        <f t="shared" si="30"/>
        <v>0</v>
      </c>
      <c r="H82" s="158"/>
      <c r="I82" s="928">
        <f t="shared" si="0"/>
        <v>0</v>
      </c>
      <c r="J82" s="925"/>
      <c r="K82" s="927">
        <f t="shared" si="1"/>
        <v>0</v>
      </c>
      <c r="L82" s="158"/>
      <c r="M82" s="928">
        <f t="shared" si="2"/>
        <v>0</v>
      </c>
      <c r="N82" s="925"/>
      <c r="O82" s="927">
        <f t="shared" si="3"/>
        <v>0</v>
      </c>
      <c r="P82" s="1316"/>
      <c r="Q82" s="928">
        <f t="shared" si="26"/>
        <v>0</v>
      </c>
      <c r="R82" s="925"/>
      <c r="S82" s="927">
        <f t="shared" si="5"/>
        <v>0</v>
      </c>
      <c r="T82" s="158"/>
      <c r="U82" s="928">
        <f t="shared" si="6"/>
        <v>0</v>
      </c>
      <c r="V82" s="925"/>
      <c r="W82" s="927">
        <f t="shared" si="7"/>
        <v>0</v>
      </c>
      <c r="X82" s="158"/>
      <c r="Y82" s="928">
        <f t="shared" si="27"/>
        <v>0</v>
      </c>
      <c r="Z82" s="925"/>
      <c r="AA82" s="927">
        <f t="shared" si="9"/>
        <v>0</v>
      </c>
      <c r="AB82" s="158"/>
      <c r="AC82" s="928">
        <f t="shared" si="10"/>
        <v>0</v>
      </c>
      <c r="AD82" s="844"/>
      <c r="AE82" s="845"/>
      <c r="AF82" s="1300"/>
      <c r="AG82" s="751"/>
      <c r="AH82" s="752"/>
      <c r="AI82" s="1571">
        <f t="shared" si="51"/>
        <v>0</v>
      </c>
      <c r="AJ82" s="1572">
        <f t="shared" si="52"/>
        <v>0</v>
      </c>
      <c r="AK82" s="1528">
        <v>18</v>
      </c>
      <c r="AL82" s="737"/>
      <c r="AM82" s="746"/>
      <c r="AN82" s="747"/>
      <c r="AO82" s="748"/>
      <c r="AP82" s="1528"/>
    </row>
    <row r="83" spans="1:42" ht="33" customHeight="1">
      <c r="A83" s="1150"/>
      <c r="B83" s="1580" t="s">
        <v>1029</v>
      </c>
      <c r="C83" s="984" t="s">
        <v>556</v>
      </c>
      <c r="D83" s="1174" t="s">
        <v>556</v>
      </c>
      <c r="E83" s="986">
        <v>1</v>
      </c>
      <c r="F83" s="637"/>
      <c r="G83" s="988">
        <f t="shared" si="30"/>
        <v>0</v>
      </c>
      <c r="H83" s="634"/>
      <c r="I83" s="631">
        <f t="shared" si="0"/>
        <v>0</v>
      </c>
      <c r="J83" s="637"/>
      <c r="K83" s="636">
        <f t="shared" si="1"/>
        <v>0</v>
      </c>
      <c r="L83" s="634"/>
      <c r="M83" s="631">
        <f t="shared" si="2"/>
        <v>0</v>
      </c>
      <c r="N83" s="637"/>
      <c r="O83" s="636">
        <f t="shared" si="3"/>
        <v>0</v>
      </c>
      <c r="P83" s="635"/>
      <c r="Q83" s="631">
        <f t="shared" si="26"/>
        <v>0</v>
      </c>
      <c r="R83" s="634"/>
      <c r="S83" s="631">
        <f t="shared" si="5"/>
        <v>0</v>
      </c>
      <c r="T83" s="634"/>
      <c r="U83" s="631">
        <f t="shared" si="6"/>
        <v>0</v>
      </c>
      <c r="V83" s="634"/>
      <c r="W83" s="631">
        <f t="shared" si="7"/>
        <v>0</v>
      </c>
      <c r="X83" s="634"/>
      <c r="Y83" s="631">
        <f t="shared" si="27"/>
        <v>0</v>
      </c>
      <c r="Z83" s="634"/>
      <c r="AA83" s="631">
        <f t="shared" si="9"/>
        <v>0</v>
      </c>
      <c r="AB83" s="634"/>
      <c r="AC83" s="631">
        <f t="shared" si="10"/>
        <v>0</v>
      </c>
      <c r="AD83" s="638">
        <f>'[1]Commande Souvenirs, librairie'!F168</f>
        <v>0.48</v>
      </c>
      <c r="AE83" s="639"/>
      <c r="AF83" s="1300"/>
      <c r="AG83" s="641">
        <f aca="true" t="shared" si="55" ref="AG83:AG104">E83-AD83</f>
        <v>0.52</v>
      </c>
      <c r="AH83" s="642">
        <f aca="true" t="shared" si="56" ref="AH83:AH104">AG83*AJ83</f>
        <v>0</v>
      </c>
      <c r="AI83" s="643">
        <f t="shared" si="51"/>
        <v>0</v>
      </c>
      <c r="AJ83" s="644">
        <f t="shared" si="52"/>
        <v>0</v>
      </c>
      <c r="AK83" s="1528">
        <v>932</v>
      </c>
      <c r="AL83" s="667"/>
      <c r="AM83" s="647">
        <f>AK83+AL83</f>
        <v>932</v>
      </c>
      <c r="AN83" s="669"/>
      <c r="AO83" s="670"/>
      <c r="AP83" s="1528"/>
    </row>
    <row r="84" spans="1:42" ht="21.75">
      <c r="A84" s="1150"/>
      <c r="B84" s="1580" t="s">
        <v>1030</v>
      </c>
      <c r="C84" s="984"/>
      <c r="D84" s="1161" t="s">
        <v>153</v>
      </c>
      <c r="E84" s="999">
        <v>1</v>
      </c>
      <c r="F84" s="659"/>
      <c r="G84" s="1001">
        <f t="shared" si="30"/>
        <v>0</v>
      </c>
      <c r="H84" s="68"/>
      <c r="I84" s="654">
        <f t="shared" si="0"/>
        <v>0</v>
      </c>
      <c r="J84" s="659"/>
      <c r="K84" s="658">
        <f t="shared" si="1"/>
        <v>0</v>
      </c>
      <c r="L84" s="68"/>
      <c r="M84" s="654">
        <f t="shared" si="2"/>
        <v>0</v>
      </c>
      <c r="N84" s="659"/>
      <c r="O84" s="658">
        <f t="shared" si="3"/>
        <v>0</v>
      </c>
      <c r="P84" s="657"/>
      <c r="Q84" s="654">
        <f t="shared" si="26"/>
        <v>0</v>
      </c>
      <c r="R84" s="68"/>
      <c r="S84" s="654">
        <f t="shared" si="5"/>
        <v>0</v>
      </c>
      <c r="T84" s="68"/>
      <c r="U84" s="654">
        <f t="shared" si="6"/>
        <v>0</v>
      </c>
      <c r="V84" s="68"/>
      <c r="W84" s="654">
        <f t="shared" si="7"/>
        <v>0</v>
      </c>
      <c r="X84" s="68"/>
      <c r="Y84" s="654">
        <f t="shared" si="27"/>
        <v>0</v>
      </c>
      <c r="Z84" s="68"/>
      <c r="AA84" s="654">
        <f t="shared" si="9"/>
        <v>0</v>
      </c>
      <c r="AB84" s="68"/>
      <c r="AC84" s="654">
        <f t="shared" si="10"/>
        <v>0</v>
      </c>
      <c r="AD84" s="660">
        <v>0.13</v>
      </c>
      <c r="AE84" s="661"/>
      <c r="AF84" s="1300"/>
      <c r="AG84" s="662">
        <f t="shared" si="55"/>
        <v>0.87</v>
      </c>
      <c r="AH84" s="663">
        <f t="shared" si="56"/>
        <v>0</v>
      </c>
      <c r="AI84" s="664">
        <f t="shared" si="51"/>
        <v>0</v>
      </c>
      <c r="AJ84" s="665">
        <f t="shared" si="52"/>
        <v>0</v>
      </c>
      <c r="AK84" s="1528">
        <f>200+22</f>
        <v>222</v>
      </c>
      <c r="AL84" s="737"/>
      <c r="AM84" s="647"/>
      <c r="AN84" s="747"/>
      <c r="AO84" s="748"/>
      <c r="AP84" s="1528"/>
    </row>
    <row r="85" spans="1:42" ht="21.75">
      <c r="A85" s="1150"/>
      <c r="B85" s="1580" t="s">
        <v>1031</v>
      </c>
      <c r="C85" s="984"/>
      <c r="D85" s="1161" t="s">
        <v>435</v>
      </c>
      <c r="E85" s="999">
        <v>1</v>
      </c>
      <c r="F85" s="659"/>
      <c r="G85" s="1001">
        <f t="shared" si="30"/>
        <v>0</v>
      </c>
      <c r="H85" s="68"/>
      <c r="I85" s="654">
        <f t="shared" si="0"/>
        <v>0</v>
      </c>
      <c r="J85" s="659"/>
      <c r="K85" s="658">
        <f t="shared" si="1"/>
        <v>0</v>
      </c>
      <c r="L85" s="68"/>
      <c r="M85" s="654">
        <f t="shared" si="2"/>
        <v>0</v>
      </c>
      <c r="N85" s="659"/>
      <c r="O85" s="658">
        <f t="shared" si="3"/>
        <v>0</v>
      </c>
      <c r="P85" s="657"/>
      <c r="Q85" s="654">
        <f t="shared" si="26"/>
        <v>0</v>
      </c>
      <c r="R85" s="68"/>
      <c r="S85" s="654">
        <f t="shared" si="5"/>
        <v>0</v>
      </c>
      <c r="T85" s="68"/>
      <c r="U85" s="654">
        <f t="shared" si="6"/>
        <v>0</v>
      </c>
      <c r="V85" s="68"/>
      <c r="W85" s="654">
        <f t="shared" si="7"/>
        <v>0</v>
      </c>
      <c r="X85" s="68"/>
      <c r="Y85" s="654">
        <f t="shared" si="27"/>
        <v>0</v>
      </c>
      <c r="Z85" s="68"/>
      <c r="AA85" s="654">
        <f t="shared" si="9"/>
        <v>0</v>
      </c>
      <c r="AB85" s="68"/>
      <c r="AC85" s="654">
        <f t="shared" si="10"/>
        <v>0</v>
      </c>
      <c r="AD85" s="660">
        <v>0.13</v>
      </c>
      <c r="AE85" s="661"/>
      <c r="AF85" s="1300"/>
      <c r="AG85" s="662">
        <f t="shared" si="55"/>
        <v>0.87</v>
      </c>
      <c r="AH85" s="663">
        <f t="shared" si="56"/>
        <v>0</v>
      </c>
      <c r="AI85" s="664">
        <f t="shared" si="51"/>
        <v>0</v>
      </c>
      <c r="AJ85" s="665">
        <f t="shared" si="52"/>
        <v>0</v>
      </c>
      <c r="AK85" s="1528">
        <v>300</v>
      </c>
      <c r="AL85" s="737"/>
      <c r="AM85" s="647"/>
      <c r="AN85" s="747"/>
      <c r="AO85" s="748"/>
      <c r="AP85" s="1528"/>
    </row>
    <row r="86" spans="1:42" ht="21.75">
      <c r="A86" s="1150"/>
      <c r="B86" s="1580" t="s">
        <v>1032</v>
      </c>
      <c r="C86" s="984"/>
      <c r="D86" s="1161" t="s">
        <v>438</v>
      </c>
      <c r="E86" s="999">
        <v>1</v>
      </c>
      <c r="F86" s="659"/>
      <c r="G86" s="1001">
        <f t="shared" si="30"/>
        <v>0</v>
      </c>
      <c r="H86" s="68"/>
      <c r="I86" s="654">
        <f t="shared" si="0"/>
        <v>0</v>
      </c>
      <c r="J86" s="659"/>
      <c r="K86" s="658">
        <f t="shared" si="1"/>
        <v>0</v>
      </c>
      <c r="L86" s="68"/>
      <c r="M86" s="654">
        <f t="shared" si="2"/>
        <v>0</v>
      </c>
      <c r="N86" s="659"/>
      <c r="O86" s="658">
        <f t="shared" si="3"/>
        <v>0</v>
      </c>
      <c r="P86" s="657"/>
      <c r="Q86" s="654">
        <f t="shared" si="26"/>
        <v>0</v>
      </c>
      <c r="R86" s="68"/>
      <c r="S86" s="654">
        <f t="shared" si="5"/>
        <v>0</v>
      </c>
      <c r="T86" s="68"/>
      <c r="U86" s="654">
        <f t="shared" si="6"/>
        <v>0</v>
      </c>
      <c r="V86" s="68"/>
      <c r="W86" s="654">
        <f t="shared" si="7"/>
        <v>0</v>
      </c>
      <c r="X86" s="68"/>
      <c r="Y86" s="654">
        <f t="shared" si="27"/>
        <v>0</v>
      </c>
      <c r="Z86" s="68"/>
      <c r="AA86" s="654">
        <f t="shared" si="9"/>
        <v>0</v>
      </c>
      <c r="AB86" s="68"/>
      <c r="AC86" s="654">
        <f t="shared" si="10"/>
        <v>0</v>
      </c>
      <c r="AD86" s="660">
        <v>0.13</v>
      </c>
      <c r="AE86" s="661"/>
      <c r="AF86" s="1300"/>
      <c r="AG86" s="662">
        <f t="shared" si="55"/>
        <v>0.87</v>
      </c>
      <c r="AH86" s="663">
        <f t="shared" si="56"/>
        <v>0</v>
      </c>
      <c r="AI86" s="664">
        <f t="shared" si="51"/>
        <v>0</v>
      </c>
      <c r="AJ86" s="665">
        <f t="shared" si="52"/>
        <v>0</v>
      </c>
      <c r="AK86" s="1528">
        <f>152+39</f>
        <v>191</v>
      </c>
      <c r="AL86" s="737"/>
      <c r="AM86" s="647"/>
      <c r="AN86" s="747"/>
      <c r="AO86" s="748"/>
      <c r="AP86" s="1528"/>
    </row>
    <row r="87" spans="1:42" ht="21.75" customHeight="1">
      <c r="A87" s="1150"/>
      <c r="B87" s="1580" t="s">
        <v>1033</v>
      </c>
      <c r="C87" s="1194" t="s">
        <v>178</v>
      </c>
      <c r="D87" s="1174" t="s">
        <v>179</v>
      </c>
      <c r="E87" s="986">
        <v>2</v>
      </c>
      <c r="F87" s="637"/>
      <c r="G87" s="988">
        <f t="shared" si="30"/>
        <v>0</v>
      </c>
      <c r="H87" s="634"/>
      <c r="I87" s="631">
        <f t="shared" si="0"/>
        <v>0</v>
      </c>
      <c r="J87" s="637"/>
      <c r="K87" s="636">
        <f t="shared" si="1"/>
        <v>0</v>
      </c>
      <c r="L87" s="634"/>
      <c r="M87" s="631">
        <f t="shared" si="2"/>
        <v>0</v>
      </c>
      <c r="N87" s="637"/>
      <c r="O87" s="636">
        <f t="shared" si="3"/>
        <v>0</v>
      </c>
      <c r="P87" s="635"/>
      <c r="Q87" s="631">
        <f t="shared" si="26"/>
        <v>0</v>
      </c>
      <c r="R87" s="634"/>
      <c r="S87" s="631">
        <f t="shared" si="5"/>
        <v>0</v>
      </c>
      <c r="T87" s="634"/>
      <c r="U87" s="631">
        <f t="shared" si="6"/>
        <v>0</v>
      </c>
      <c r="V87" s="637"/>
      <c r="W87" s="636">
        <f t="shared" si="7"/>
        <v>0</v>
      </c>
      <c r="X87" s="634"/>
      <c r="Y87" s="631">
        <f t="shared" si="27"/>
        <v>0</v>
      </c>
      <c r="Z87" s="637"/>
      <c r="AA87" s="636">
        <f t="shared" si="9"/>
        <v>0</v>
      </c>
      <c r="AB87" s="634"/>
      <c r="AC87" s="631">
        <f t="shared" si="10"/>
        <v>0</v>
      </c>
      <c r="AD87" s="638">
        <v>1.3</v>
      </c>
      <c r="AE87" s="639"/>
      <c r="AF87" s="1300"/>
      <c r="AG87" s="641">
        <f t="shared" si="55"/>
        <v>0.7</v>
      </c>
      <c r="AH87" s="642">
        <f t="shared" si="56"/>
        <v>0</v>
      </c>
      <c r="AI87" s="643">
        <f t="shared" si="51"/>
        <v>0</v>
      </c>
      <c r="AJ87" s="644">
        <f t="shared" si="52"/>
        <v>0</v>
      </c>
      <c r="AK87" s="1528">
        <f>18+3</f>
        <v>21</v>
      </c>
      <c r="AL87" s="646"/>
      <c r="AM87" s="647">
        <f aca="true" t="shared" si="57" ref="AM87:AM89">AK87+AL87</f>
        <v>21</v>
      </c>
      <c r="AN87" s="648">
        <f aca="true" t="shared" si="58" ref="AN87:AN89">AL87-AM87</f>
        <v>-21</v>
      </c>
      <c r="AO87" s="649"/>
      <c r="AP87" s="1528"/>
    </row>
    <row r="88" spans="1:42" ht="21.75">
      <c r="A88" s="1150"/>
      <c r="B88" s="1580" t="s">
        <v>1034</v>
      </c>
      <c r="C88" s="1192"/>
      <c r="D88" s="1161" t="s">
        <v>181</v>
      </c>
      <c r="E88" s="999">
        <v>2</v>
      </c>
      <c r="F88" s="659"/>
      <c r="G88" s="658">
        <f t="shared" si="30"/>
        <v>0</v>
      </c>
      <c r="H88" s="68"/>
      <c r="I88" s="654">
        <f t="shared" si="0"/>
        <v>0</v>
      </c>
      <c r="J88" s="659"/>
      <c r="K88" s="658">
        <f t="shared" si="1"/>
        <v>0</v>
      </c>
      <c r="L88" s="68"/>
      <c r="M88" s="654">
        <f t="shared" si="2"/>
        <v>0</v>
      </c>
      <c r="N88" s="659"/>
      <c r="O88" s="658">
        <f t="shared" si="3"/>
        <v>0</v>
      </c>
      <c r="P88" s="657"/>
      <c r="Q88" s="654">
        <f t="shared" si="26"/>
        <v>0</v>
      </c>
      <c r="R88" s="68"/>
      <c r="S88" s="654">
        <f t="shared" si="5"/>
        <v>0</v>
      </c>
      <c r="T88" s="68"/>
      <c r="U88" s="654">
        <f t="shared" si="6"/>
        <v>0</v>
      </c>
      <c r="V88" s="659"/>
      <c r="W88" s="658">
        <f t="shared" si="7"/>
        <v>0</v>
      </c>
      <c r="X88" s="68"/>
      <c r="Y88" s="654">
        <f t="shared" si="27"/>
        <v>0</v>
      </c>
      <c r="Z88" s="659"/>
      <c r="AA88" s="658">
        <f t="shared" si="9"/>
        <v>0</v>
      </c>
      <c r="AB88" s="68"/>
      <c r="AC88" s="654">
        <f t="shared" si="10"/>
        <v>0</v>
      </c>
      <c r="AD88" s="660">
        <v>1.3</v>
      </c>
      <c r="AE88" s="661"/>
      <c r="AF88" s="1300"/>
      <c r="AG88" s="662">
        <f t="shared" si="55"/>
        <v>0.7</v>
      </c>
      <c r="AH88" s="663">
        <f t="shared" si="56"/>
        <v>0</v>
      </c>
      <c r="AI88" s="664">
        <f t="shared" si="51"/>
        <v>0</v>
      </c>
      <c r="AJ88" s="665">
        <f t="shared" si="52"/>
        <v>0</v>
      </c>
      <c r="AK88" s="1528">
        <v>2</v>
      </c>
      <c r="AL88" s="667"/>
      <c r="AM88" s="647">
        <f t="shared" si="57"/>
        <v>2</v>
      </c>
      <c r="AN88" s="669">
        <f t="shared" si="58"/>
        <v>-2</v>
      </c>
      <c r="AO88" s="670"/>
      <c r="AP88" s="1528"/>
    </row>
    <row r="89" spans="1:42" ht="21.75">
      <c r="A89" s="1150"/>
      <c r="B89" s="1580" t="s">
        <v>1035</v>
      </c>
      <c r="C89" s="1192"/>
      <c r="D89" s="1161" t="s">
        <v>182</v>
      </c>
      <c r="E89" s="999">
        <v>2</v>
      </c>
      <c r="F89" s="659"/>
      <c r="G89" s="658">
        <f t="shared" si="30"/>
        <v>0</v>
      </c>
      <c r="H89" s="68"/>
      <c r="I89" s="654">
        <f t="shared" si="0"/>
        <v>0</v>
      </c>
      <c r="J89" s="659"/>
      <c r="K89" s="658">
        <f t="shared" si="1"/>
        <v>0</v>
      </c>
      <c r="L89" s="68"/>
      <c r="M89" s="654">
        <f t="shared" si="2"/>
        <v>0</v>
      </c>
      <c r="N89" s="659"/>
      <c r="O89" s="658">
        <f t="shared" si="3"/>
        <v>0</v>
      </c>
      <c r="P89" s="657"/>
      <c r="Q89" s="654">
        <f t="shared" si="26"/>
        <v>0</v>
      </c>
      <c r="R89" s="68"/>
      <c r="S89" s="654">
        <f t="shared" si="5"/>
        <v>0</v>
      </c>
      <c r="T89" s="68"/>
      <c r="U89" s="654">
        <f t="shared" si="6"/>
        <v>0</v>
      </c>
      <c r="V89" s="659"/>
      <c r="W89" s="658">
        <f t="shared" si="7"/>
        <v>0</v>
      </c>
      <c r="X89" s="68"/>
      <c r="Y89" s="654">
        <f t="shared" si="27"/>
        <v>0</v>
      </c>
      <c r="Z89" s="659"/>
      <c r="AA89" s="658">
        <f t="shared" si="9"/>
        <v>0</v>
      </c>
      <c r="AB89" s="68"/>
      <c r="AC89" s="654">
        <f t="shared" si="10"/>
        <v>0</v>
      </c>
      <c r="AD89" s="660">
        <v>1.3</v>
      </c>
      <c r="AE89" s="661"/>
      <c r="AF89" s="1300"/>
      <c r="AG89" s="662">
        <f t="shared" si="55"/>
        <v>0.7</v>
      </c>
      <c r="AH89" s="663">
        <f t="shared" si="56"/>
        <v>0</v>
      </c>
      <c r="AI89" s="664">
        <f t="shared" si="51"/>
        <v>0</v>
      </c>
      <c r="AJ89" s="665">
        <f t="shared" si="52"/>
        <v>0</v>
      </c>
      <c r="AK89" s="1528">
        <v>5</v>
      </c>
      <c r="AL89" s="667"/>
      <c r="AM89" s="647">
        <f t="shared" si="57"/>
        <v>5</v>
      </c>
      <c r="AN89" s="669">
        <f t="shared" si="58"/>
        <v>-5</v>
      </c>
      <c r="AO89" s="670"/>
      <c r="AP89" s="1528"/>
    </row>
    <row r="90" spans="1:43" ht="31.5">
      <c r="A90" s="1150"/>
      <c r="B90" s="1580" t="s">
        <v>1036</v>
      </c>
      <c r="C90" s="1210"/>
      <c r="D90" s="1214" t="s">
        <v>724</v>
      </c>
      <c r="E90" s="999">
        <v>12</v>
      </c>
      <c r="F90" s="659"/>
      <c r="G90" s="658">
        <f t="shared" si="30"/>
        <v>0</v>
      </c>
      <c r="H90" s="68"/>
      <c r="I90" s="654">
        <f t="shared" si="0"/>
        <v>0</v>
      </c>
      <c r="J90" s="659"/>
      <c r="K90" s="658">
        <f t="shared" si="1"/>
        <v>0</v>
      </c>
      <c r="L90" s="68"/>
      <c r="M90" s="654">
        <f t="shared" si="2"/>
        <v>0</v>
      </c>
      <c r="N90" s="659"/>
      <c r="O90" s="658">
        <f t="shared" si="3"/>
        <v>0</v>
      </c>
      <c r="P90" s="657"/>
      <c r="Q90" s="654">
        <f t="shared" si="26"/>
        <v>0</v>
      </c>
      <c r="R90" s="68"/>
      <c r="S90" s="654">
        <f t="shared" si="5"/>
        <v>0</v>
      </c>
      <c r="T90" s="68"/>
      <c r="U90" s="654">
        <f t="shared" si="6"/>
        <v>0</v>
      </c>
      <c r="V90" s="659"/>
      <c r="W90" s="658">
        <f t="shared" si="7"/>
        <v>0</v>
      </c>
      <c r="X90" s="68"/>
      <c r="Y90" s="654">
        <f t="shared" si="27"/>
        <v>0</v>
      </c>
      <c r="Z90" s="659"/>
      <c r="AA90" s="658">
        <f t="shared" si="9"/>
        <v>0</v>
      </c>
      <c r="AB90" s="68"/>
      <c r="AC90" s="654">
        <f t="shared" si="10"/>
        <v>0</v>
      </c>
      <c r="AD90" s="660">
        <v>7.8</v>
      </c>
      <c r="AE90" s="661"/>
      <c r="AF90" s="1212"/>
      <c r="AG90" s="662">
        <f t="shared" si="55"/>
        <v>4.2</v>
      </c>
      <c r="AH90" s="663">
        <f t="shared" si="56"/>
        <v>0</v>
      </c>
      <c r="AI90" s="664">
        <f t="shared" si="51"/>
        <v>0</v>
      </c>
      <c r="AJ90" s="665">
        <f t="shared" si="52"/>
        <v>0</v>
      </c>
      <c r="AK90" s="1528">
        <v>18</v>
      </c>
      <c r="AL90" s="1213"/>
      <c r="AM90" s="647"/>
      <c r="AN90" s="669"/>
      <c r="AO90" s="810"/>
      <c r="AP90" s="1528"/>
      <c r="AQ90" s="1215"/>
    </row>
    <row r="91" spans="1:42" ht="21.75">
      <c r="A91" s="1150"/>
      <c r="B91" s="1580" t="s">
        <v>1037</v>
      </c>
      <c r="C91" s="1210"/>
      <c r="D91" s="1211" t="s">
        <v>725</v>
      </c>
      <c r="E91" s="999">
        <v>5</v>
      </c>
      <c r="F91" s="659"/>
      <c r="G91" s="658">
        <f t="shared" si="30"/>
        <v>0</v>
      </c>
      <c r="H91" s="68"/>
      <c r="I91" s="654">
        <f t="shared" si="0"/>
        <v>0</v>
      </c>
      <c r="J91" s="659"/>
      <c r="K91" s="658">
        <f t="shared" si="1"/>
        <v>0</v>
      </c>
      <c r="L91" s="68"/>
      <c r="M91" s="654">
        <f t="shared" si="2"/>
        <v>0</v>
      </c>
      <c r="N91" s="659"/>
      <c r="O91" s="658">
        <f t="shared" si="3"/>
        <v>0</v>
      </c>
      <c r="P91" s="657"/>
      <c r="Q91" s="654">
        <f t="shared" si="26"/>
        <v>0</v>
      </c>
      <c r="R91" s="68"/>
      <c r="S91" s="654">
        <f t="shared" si="5"/>
        <v>0</v>
      </c>
      <c r="T91" s="68"/>
      <c r="U91" s="654">
        <f t="shared" si="6"/>
        <v>0</v>
      </c>
      <c r="V91" s="659"/>
      <c r="W91" s="658">
        <f t="shared" si="7"/>
        <v>0</v>
      </c>
      <c r="X91" s="68"/>
      <c r="Y91" s="654">
        <f t="shared" si="27"/>
        <v>0</v>
      </c>
      <c r="Z91" s="659"/>
      <c r="AA91" s="658">
        <f t="shared" si="9"/>
        <v>0</v>
      </c>
      <c r="AB91" s="68"/>
      <c r="AC91" s="654">
        <f t="shared" si="10"/>
        <v>0</v>
      </c>
      <c r="AD91" s="660">
        <v>2</v>
      </c>
      <c r="AE91" s="661"/>
      <c r="AF91" s="1212"/>
      <c r="AG91" s="662">
        <f t="shared" si="55"/>
        <v>3</v>
      </c>
      <c r="AH91" s="663">
        <f t="shared" si="56"/>
        <v>0</v>
      </c>
      <c r="AI91" s="664">
        <f t="shared" si="51"/>
        <v>0</v>
      </c>
      <c r="AJ91" s="665">
        <f t="shared" si="52"/>
        <v>0</v>
      </c>
      <c r="AK91" s="1528">
        <v>0</v>
      </c>
      <c r="AL91" s="1213"/>
      <c r="AM91" s="647"/>
      <c r="AN91" s="669"/>
      <c r="AO91" s="810"/>
      <c r="AP91" s="1528"/>
    </row>
    <row r="92" spans="1:42" ht="21" customHeight="1" hidden="1">
      <c r="A92" s="1150"/>
      <c r="B92" s="1580" t="s">
        <v>1038</v>
      </c>
      <c r="C92" s="1210"/>
      <c r="D92" s="1216" t="s">
        <v>727</v>
      </c>
      <c r="E92" s="999">
        <v>15</v>
      </c>
      <c r="F92" s="659"/>
      <c r="G92" s="658">
        <f t="shared" si="30"/>
        <v>0</v>
      </c>
      <c r="H92" s="68"/>
      <c r="I92" s="654">
        <f t="shared" si="0"/>
        <v>0</v>
      </c>
      <c r="J92" s="659"/>
      <c r="K92" s="658">
        <f t="shared" si="1"/>
        <v>0</v>
      </c>
      <c r="L92" s="68"/>
      <c r="M92" s="654">
        <f t="shared" si="2"/>
        <v>0</v>
      </c>
      <c r="N92" s="659"/>
      <c r="O92" s="658">
        <f t="shared" si="3"/>
        <v>0</v>
      </c>
      <c r="P92" s="657"/>
      <c r="Q92" s="654">
        <f t="shared" si="26"/>
        <v>0</v>
      </c>
      <c r="R92" s="68"/>
      <c r="S92" s="654">
        <f t="shared" si="5"/>
        <v>0</v>
      </c>
      <c r="T92" s="68"/>
      <c r="U92" s="654">
        <f t="shared" si="6"/>
        <v>0</v>
      </c>
      <c r="V92" s="659"/>
      <c r="W92" s="658">
        <f t="shared" si="7"/>
        <v>0</v>
      </c>
      <c r="X92" s="68"/>
      <c r="Y92" s="654">
        <f t="shared" si="27"/>
        <v>0</v>
      </c>
      <c r="Z92" s="659"/>
      <c r="AA92" s="658">
        <f t="shared" si="9"/>
        <v>0</v>
      </c>
      <c r="AB92" s="68"/>
      <c r="AC92" s="654">
        <f t="shared" si="10"/>
        <v>0</v>
      </c>
      <c r="AD92" s="660">
        <v>12.5</v>
      </c>
      <c r="AE92" s="661"/>
      <c r="AF92" s="1212"/>
      <c r="AG92" s="662">
        <f t="shared" si="55"/>
        <v>2.5</v>
      </c>
      <c r="AH92" s="663">
        <f t="shared" si="56"/>
        <v>0</v>
      </c>
      <c r="AI92" s="664">
        <f t="shared" si="51"/>
        <v>0</v>
      </c>
      <c r="AJ92" s="665">
        <f t="shared" si="52"/>
        <v>0</v>
      </c>
      <c r="AK92" s="1528">
        <v>0</v>
      </c>
      <c r="AL92" s="1581"/>
      <c r="AM92" s="647"/>
      <c r="AN92" s="739"/>
      <c r="AO92" s="748"/>
      <c r="AP92" s="1528"/>
    </row>
    <row r="93" spans="1:42" ht="21" customHeight="1" hidden="1">
      <c r="A93" s="1150"/>
      <c r="B93" s="1580" t="s">
        <v>1039</v>
      </c>
      <c r="C93" s="1210"/>
      <c r="D93" s="1216" t="s">
        <v>729</v>
      </c>
      <c r="E93" s="999">
        <v>22</v>
      </c>
      <c r="F93" s="659"/>
      <c r="G93" s="658">
        <f t="shared" si="30"/>
        <v>0</v>
      </c>
      <c r="H93" s="68"/>
      <c r="I93" s="654">
        <f t="shared" si="0"/>
        <v>0</v>
      </c>
      <c r="J93" s="659"/>
      <c r="K93" s="658">
        <f t="shared" si="1"/>
        <v>0</v>
      </c>
      <c r="L93" s="68"/>
      <c r="M93" s="654">
        <f t="shared" si="2"/>
        <v>0</v>
      </c>
      <c r="N93" s="659"/>
      <c r="O93" s="658">
        <f t="shared" si="3"/>
        <v>0</v>
      </c>
      <c r="P93" s="657"/>
      <c r="Q93" s="654">
        <f t="shared" si="26"/>
        <v>0</v>
      </c>
      <c r="R93" s="68"/>
      <c r="S93" s="654">
        <f t="shared" si="5"/>
        <v>0</v>
      </c>
      <c r="T93" s="68"/>
      <c r="U93" s="654">
        <f t="shared" si="6"/>
        <v>0</v>
      </c>
      <c r="V93" s="659"/>
      <c r="W93" s="658">
        <f t="shared" si="7"/>
        <v>0</v>
      </c>
      <c r="X93" s="68"/>
      <c r="Y93" s="654">
        <f t="shared" si="27"/>
        <v>0</v>
      </c>
      <c r="Z93" s="659"/>
      <c r="AA93" s="658">
        <f t="shared" si="9"/>
        <v>0</v>
      </c>
      <c r="AB93" s="68"/>
      <c r="AC93" s="654">
        <f t="shared" si="10"/>
        <v>0</v>
      </c>
      <c r="AD93" s="660">
        <v>15.4</v>
      </c>
      <c r="AE93" s="661"/>
      <c r="AF93" s="1212"/>
      <c r="AG93" s="662">
        <f t="shared" si="55"/>
        <v>6.6</v>
      </c>
      <c r="AH93" s="663">
        <f t="shared" si="56"/>
        <v>0</v>
      </c>
      <c r="AI93" s="664">
        <f t="shared" si="51"/>
        <v>0</v>
      </c>
      <c r="AJ93" s="665">
        <f t="shared" si="52"/>
        <v>0</v>
      </c>
      <c r="AK93" s="1528">
        <v>0</v>
      </c>
      <c r="AL93" s="1581"/>
      <c r="AM93" s="647"/>
      <c r="AN93" s="739"/>
      <c r="AO93" s="748"/>
      <c r="AP93" s="1528"/>
    </row>
    <row r="94" spans="1:42" ht="21" customHeight="1" hidden="1">
      <c r="A94" s="1150"/>
      <c r="B94" s="1580" t="s">
        <v>1040</v>
      </c>
      <c r="C94" s="1210"/>
      <c r="D94" s="1216" t="s">
        <v>730</v>
      </c>
      <c r="E94" s="999">
        <v>15</v>
      </c>
      <c r="F94" s="659"/>
      <c r="G94" s="658">
        <f t="shared" si="30"/>
        <v>0</v>
      </c>
      <c r="H94" s="68"/>
      <c r="I94" s="654">
        <f t="shared" si="0"/>
        <v>0</v>
      </c>
      <c r="J94" s="659"/>
      <c r="K94" s="658">
        <f t="shared" si="1"/>
        <v>0</v>
      </c>
      <c r="L94" s="68"/>
      <c r="M94" s="654">
        <f t="shared" si="2"/>
        <v>0</v>
      </c>
      <c r="N94" s="659"/>
      <c r="O94" s="658">
        <f t="shared" si="3"/>
        <v>0</v>
      </c>
      <c r="P94" s="657"/>
      <c r="Q94" s="654">
        <f t="shared" si="26"/>
        <v>0</v>
      </c>
      <c r="R94" s="68"/>
      <c r="S94" s="654">
        <f t="shared" si="5"/>
        <v>0</v>
      </c>
      <c r="T94" s="68"/>
      <c r="U94" s="654">
        <f t="shared" si="6"/>
        <v>0</v>
      </c>
      <c r="V94" s="659"/>
      <c r="W94" s="658">
        <f t="shared" si="7"/>
        <v>0</v>
      </c>
      <c r="X94" s="68"/>
      <c r="Y94" s="654">
        <f t="shared" si="27"/>
        <v>0</v>
      </c>
      <c r="Z94" s="659"/>
      <c r="AA94" s="658">
        <f t="shared" si="9"/>
        <v>0</v>
      </c>
      <c r="AB94" s="68"/>
      <c r="AC94" s="654">
        <f t="shared" si="10"/>
        <v>0</v>
      </c>
      <c r="AD94" s="826"/>
      <c r="AE94" s="868"/>
      <c r="AF94" s="1212"/>
      <c r="AG94" s="662">
        <f t="shared" si="55"/>
        <v>15</v>
      </c>
      <c r="AH94" s="663">
        <f t="shared" si="56"/>
        <v>0</v>
      </c>
      <c r="AI94" s="664">
        <f t="shared" si="51"/>
        <v>0</v>
      </c>
      <c r="AJ94" s="665">
        <f t="shared" si="52"/>
        <v>0</v>
      </c>
      <c r="AK94" s="1528">
        <v>0</v>
      </c>
      <c r="AL94" s="1581"/>
      <c r="AM94" s="647">
        <f aca="true" t="shared" si="59" ref="AM94:AM95">AK94+AL94</f>
        <v>0</v>
      </c>
      <c r="AN94" s="739"/>
      <c r="AO94" s="748"/>
      <c r="AP94" s="1528"/>
    </row>
    <row r="95" spans="1:42" ht="21" customHeight="1" hidden="1">
      <c r="A95" s="1150"/>
      <c r="B95" s="1580" t="s">
        <v>1041</v>
      </c>
      <c r="C95" s="1210"/>
      <c r="D95" s="1216" t="s">
        <v>731</v>
      </c>
      <c r="E95" s="999">
        <v>16.95</v>
      </c>
      <c r="F95" s="659"/>
      <c r="G95" s="658">
        <f t="shared" si="30"/>
        <v>0</v>
      </c>
      <c r="H95" s="68"/>
      <c r="I95" s="654">
        <f t="shared" si="0"/>
        <v>0</v>
      </c>
      <c r="J95" s="659"/>
      <c r="K95" s="658">
        <f t="shared" si="1"/>
        <v>0</v>
      </c>
      <c r="L95" s="68"/>
      <c r="M95" s="654">
        <f t="shared" si="2"/>
        <v>0</v>
      </c>
      <c r="N95" s="659"/>
      <c r="O95" s="658">
        <f t="shared" si="3"/>
        <v>0</v>
      </c>
      <c r="P95" s="657"/>
      <c r="Q95" s="654">
        <f t="shared" si="26"/>
        <v>0</v>
      </c>
      <c r="R95" s="68"/>
      <c r="S95" s="654">
        <f t="shared" si="5"/>
        <v>0</v>
      </c>
      <c r="T95" s="68"/>
      <c r="U95" s="654">
        <f t="shared" si="6"/>
        <v>0</v>
      </c>
      <c r="V95" s="659"/>
      <c r="W95" s="658">
        <f t="shared" si="7"/>
        <v>0</v>
      </c>
      <c r="X95" s="68"/>
      <c r="Y95" s="654">
        <f t="shared" si="27"/>
        <v>0</v>
      </c>
      <c r="Z95" s="659"/>
      <c r="AA95" s="658">
        <f t="shared" si="9"/>
        <v>0</v>
      </c>
      <c r="AB95" s="68"/>
      <c r="AC95" s="654">
        <f t="shared" si="10"/>
        <v>0</v>
      </c>
      <c r="AD95" s="826"/>
      <c r="AE95" s="868"/>
      <c r="AF95" s="1212"/>
      <c r="AG95" s="662">
        <f t="shared" si="55"/>
        <v>16.95</v>
      </c>
      <c r="AH95" s="663">
        <f t="shared" si="56"/>
        <v>0</v>
      </c>
      <c r="AI95" s="664">
        <f t="shared" si="51"/>
        <v>0</v>
      </c>
      <c r="AJ95" s="665">
        <f t="shared" si="52"/>
        <v>0</v>
      </c>
      <c r="AK95" s="1528">
        <v>0</v>
      </c>
      <c r="AL95" s="1581"/>
      <c r="AM95" s="647">
        <f t="shared" si="59"/>
        <v>0</v>
      </c>
      <c r="AN95" s="739"/>
      <c r="AO95" s="748"/>
      <c r="AP95" s="1528"/>
    </row>
    <row r="96" spans="1:42" ht="21.75">
      <c r="A96" s="1150"/>
      <c r="B96" s="1580" t="s">
        <v>1042</v>
      </c>
      <c r="C96" s="1210"/>
      <c r="D96" s="1216" t="s">
        <v>374</v>
      </c>
      <c r="E96" s="999">
        <v>12</v>
      </c>
      <c r="F96" s="659"/>
      <c r="G96" s="658">
        <f t="shared" si="30"/>
        <v>0</v>
      </c>
      <c r="H96" s="68"/>
      <c r="I96" s="654">
        <f t="shared" si="0"/>
        <v>0</v>
      </c>
      <c r="J96" s="659"/>
      <c r="K96" s="658">
        <f t="shared" si="1"/>
        <v>0</v>
      </c>
      <c r="L96" s="68"/>
      <c r="M96" s="654">
        <f t="shared" si="2"/>
        <v>0</v>
      </c>
      <c r="N96" s="659"/>
      <c r="O96" s="658">
        <f t="shared" si="3"/>
        <v>0</v>
      </c>
      <c r="P96" s="657"/>
      <c r="Q96" s="654">
        <f t="shared" si="26"/>
        <v>0</v>
      </c>
      <c r="R96" s="68"/>
      <c r="S96" s="654">
        <f t="shared" si="5"/>
        <v>0</v>
      </c>
      <c r="T96" s="68"/>
      <c r="U96" s="654">
        <f t="shared" si="6"/>
        <v>0</v>
      </c>
      <c r="V96" s="659"/>
      <c r="W96" s="658">
        <f t="shared" si="7"/>
        <v>0</v>
      </c>
      <c r="X96" s="68"/>
      <c r="Y96" s="654">
        <f t="shared" si="27"/>
        <v>0</v>
      </c>
      <c r="Z96" s="659"/>
      <c r="AA96" s="658">
        <f t="shared" si="9"/>
        <v>0</v>
      </c>
      <c r="AB96" s="68"/>
      <c r="AC96" s="654">
        <f t="shared" si="10"/>
        <v>0</v>
      </c>
      <c r="AD96" s="826"/>
      <c r="AE96" s="868"/>
      <c r="AF96" s="1212"/>
      <c r="AG96" s="662">
        <f t="shared" si="55"/>
        <v>12</v>
      </c>
      <c r="AH96" s="663">
        <f t="shared" si="56"/>
        <v>0</v>
      </c>
      <c r="AI96" s="664">
        <f t="shared" si="51"/>
        <v>0</v>
      </c>
      <c r="AJ96" s="665">
        <f t="shared" si="52"/>
        <v>0</v>
      </c>
      <c r="AK96" s="1528">
        <v>0</v>
      </c>
      <c r="AL96" s="1581"/>
      <c r="AM96" s="647"/>
      <c r="AN96" s="739"/>
      <c r="AO96" s="748"/>
      <c r="AP96" s="1528"/>
    </row>
    <row r="97" spans="1:42" ht="21" customHeight="1" hidden="1">
      <c r="A97" s="1150"/>
      <c r="B97" s="1580" t="s">
        <v>1043</v>
      </c>
      <c r="C97" s="1210"/>
      <c r="D97" s="1216" t="s">
        <v>732</v>
      </c>
      <c r="E97" s="999">
        <v>17.95</v>
      </c>
      <c r="F97" s="659"/>
      <c r="G97" s="658">
        <f t="shared" si="30"/>
        <v>0</v>
      </c>
      <c r="H97" s="68"/>
      <c r="I97" s="654">
        <f t="shared" si="0"/>
        <v>0</v>
      </c>
      <c r="J97" s="659"/>
      <c r="K97" s="658">
        <f t="shared" si="1"/>
        <v>0</v>
      </c>
      <c r="L97" s="68"/>
      <c r="M97" s="654">
        <f t="shared" si="2"/>
        <v>0</v>
      </c>
      <c r="N97" s="659"/>
      <c r="O97" s="658">
        <f t="shared" si="3"/>
        <v>0</v>
      </c>
      <c r="P97" s="657"/>
      <c r="Q97" s="654">
        <f t="shared" si="26"/>
        <v>0</v>
      </c>
      <c r="R97" s="68"/>
      <c r="S97" s="654">
        <f t="shared" si="5"/>
        <v>0</v>
      </c>
      <c r="T97" s="68"/>
      <c r="U97" s="654">
        <f t="shared" si="6"/>
        <v>0</v>
      </c>
      <c r="V97" s="659"/>
      <c r="W97" s="658">
        <f t="shared" si="7"/>
        <v>0</v>
      </c>
      <c r="X97" s="68"/>
      <c r="Y97" s="654">
        <f t="shared" si="27"/>
        <v>0</v>
      </c>
      <c r="Z97" s="659"/>
      <c r="AA97" s="658">
        <f t="shared" si="9"/>
        <v>0</v>
      </c>
      <c r="AB97" s="68"/>
      <c r="AC97" s="654">
        <f t="shared" si="10"/>
        <v>0</v>
      </c>
      <c r="AD97" s="826"/>
      <c r="AE97" s="868"/>
      <c r="AF97" s="1212"/>
      <c r="AG97" s="662">
        <f t="shared" si="55"/>
        <v>17.95</v>
      </c>
      <c r="AH97" s="663">
        <f t="shared" si="56"/>
        <v>0</v>
      </c>
      <c r="AI97" s="664">
        <f t="shared" si="51"/>
        <v>0</v>
      </c>
      <c r="AJ97" s="665">
        <f t="shared" si="52"/>
        <v>0</v>
      </c>
      <c r="AK97" s="1528">
        <v>0</v>
      </c>
      <c r="AL97" s="787"/>
      <c r="AM97" s="647">
        <f>AK97+AL97</f>
        <v>0</v>
      </c>
      <c r="AN97" s="739"/>
      <c r="AO97" s="748"/>
      <c r="AP97" s="1528"/>
    </row>
    <row r="98" spans="1:42" ht="21" customHeight="1" hidden="1">
      <c r="A98" s="1150"/>
      <c r="B98" s="1580" t="s">
        <v>1044</v>
      </c>
      <c r="C98" s="1210"/>
      <c r="D98" s="1211" t="s">
        <v>734</v>
      </c>
      <c r="E98" s="999">
        <v>7</v>
      </c>
      <c r="F98" s="659"/>
      <c r="G98" s="658">
        <f t="shared" si="30"/>
        <v>0</v>
      </c>
      <c r="H98" s="68"/>
      <c r="I98" s="654">
        <f t="shared" si="0"/>
        <v>0</v>
      </c>
      <c r="J98" s="659"/>
      <c r="K98" s="658">
        <f t="shared" si="1"/>
        <v>0</v>
      </c>
      <c r="L98" s="68"/>
      <c r="M98" s="654">
        <f t="shared" si="2"/>
        <v>0</v>
      </c>
      <c r="N98" s="659"/>
      <c r="O98" s="658">
        <f t="shared" si="3"/>
        <v>0</v>
      </c>
      <c r="P98" s="657"/>
      <c r="Q98" s="654">
        <f t="shared" si="26"/>
        <v>0</v>
      </c>
      <c r="R98" s="68"/>
      <c r="S98" s="654">
        <f t="shared" si="5"/>
        <v>0</v>
      </c>
      <c r="T98" s="68"/>
      <c r="U98" s="654">
        <f t="shared" si="6"/>
        <v>0</v>
      </c>
      <c r="V98" s="659"/>
      <c r="W98" s="658">
        <f t="shared" si="7"/>
        <v>0</v>
      </c>
      <c r="X98" s="68"/>
      <c r="Y98" s="654">
        <f t="shared" si="27"/>
        <v>0</v>
      </c>
      <c r="Z98" s="659"/>
      <c r="AA98" s="658">
        <f t="shared" si="9"/>
        <v>0</v>
      </c>
      <c r="AB98" s="68"/>
      <c r="AC98" s="654">
        <f t="shared" si="10"/>
        <v>0</v>
      </c>
      <c r="AD98" s="660">
        <v>4.9</v>
      </c>
      <c r="AE98" s="661"/>
      <c r="AF98" s="1212"/>
      <c r="AG98" s="662">
        <f t="shared" si="55"/>
        <v>2.0999999999999996</v>
      </c>
      <c r="AH98" s="663">
        <f t="shared" si="56"/>
        <v>0</v>
      </c>
      <c r="AI98" s="664">
        <f t="shared" si="51"/>
        <v>0</v>
      </c>
      <c r="AJ98" s="665">
        <f t="shared" si="52"/>
        <v>0</v>
      </c>
      <c r="AK98" s="1528">
        <v>0</v>
      </c>
      <c r="AL98" s="787"/>
      <c r="AM98" s="647"/>
      <c r="AN98" s="739"/>
      <c r="AO98" s="801"/>
      <c r="AP98" s="1528"/>
    </row>
    <row r="99" spans="1:42" ht="21.75">
      <c r="A99" s="1150"/>
      <c r="B99" s="1580" t="s">
        <v>1045</v>
      </c>
      <c r="C99" s="1210"/>
      <c r="D99" s="1211" t="s">
        <v>574</v>
      </c>
      <c r="E99" s="999">
        <v>5.9</v>
      </c>
      <c r="F99" s="659"/>
      <c r="G99" s="658">
        <f t="shared" si="30"/>
        <v>0</v>
      </c>
      <c r="H99" s="68"/>
      <c r="I99" s="654">
        <f t="shared" si="0"/>
        <v>0</v>
      </c>
      <c r="J99" s="659"/>
      <c r="K99" s="658">
        <f t="shared" si="1"/>
        <v>0</v>
      </c>
      <c r="L99" s="68"/>
      <c r="M99" s="654">
        <f t="shared" si="2"/>
        <v>0</v>
      </c>
      <c r="N99" s="659"/>
      <c r="O99" s="658">
        <f t="shared" si="3"/>
        <v>0</v>
      </c>
      <c r="P99" s="657"/>
      <c r="Q99" s="654">
        <f t="shared" si="26"/>
        <v>0</v>
      </c>
      <c r="R99" s="68"/>
      <c r="S99" s="654">
        <f t="shared" si="5"/>
        <v>0</v>
      </c>
      <c r="T99" s="68"/>
      <c r="U99" s="654">
        <f t="shared" si="6"/>
        <v>0</v>
      </c>
      <c r="V99" s="659"/>
      <c r="W99" s="658">
        <f t="shared" si="7"/>
        <v>0</v>
      </c>
      <c r="X99" s="68"/>
      <c r="Y99" s="654">
        <f t="shared" si="27"/>
        <v>0</v>
      </c>
      <c r="Z99" s="659"/>
      <c r="AA99" s="658">
        <f t="shared" si="9"/>
        <v>0</v>
      </c>
      <c r="AB99" s="68"/>
      <c r="AC99" s="654">
        <f t="shared" si="10"/>
        <v>0</v>
      </c>
      <c r="AD99" s="660"/>
      <c r="AE99" s="661"/>
      <c r="AF99" s="1212"/>
      <c r="AG99" s="662">
        <f t="shared" si="55"/>
        <v>5.9</v>
      </c>
      <c r="AH99" s="663">
        <f t="shared" si="56"/>
        <v>0</v>
      </c>
      <c r="AI99" s="664">
        <f t="shared" si="51"/>
        <v>0</v>
      </c>
      <c r="AJ99" s="665">
        <f t="shared" si="52"/>
        <v>0</v>
      </c>
      <c r="AK99" s="1528">
        <v>2</v>
      </c>
      <c r="AL99" s="787"/>
      <c r="AM99" s="647">
        <f>AK99+AL99</f>
        <v>2</v>
      </c>
      <c r="AN99" s="739">
        <f>AL99-AM99</f>
        <v>-2</v>
      </c>
      <c r="AO99" s="670">
        <f>AJ99-AN99</f>
        <v>2</v>
      </c>
      <c r="AP99" s="1528"/>
    </row>
    <row r="100" spans="1:42" ht="21" customHeight="1" hidden="1">
      <c r="A100" s="1150"/>
      <c r="B100" s="1580" t="s">
        <v>1046</v>
      </c>
      <c r="C100" s="1210"/>
      <c r="D100" s="1211" t="s">
        <v>737</v>
      </c>
      <c r="E100" s="999">
        <v>18</v>
      </c>
      <c r="F100" s="659"/>
      <c r="G100" s="658">
        <f t="shared" si="30"/>
        <v>0</v>
      </c>
      <c r="H100" s="68"/>
      <c r="I100" s="654">
        <f t="shared" si="0"/>
        <v>0</v>
      </c>
      <c r="J100" s="659"/>
      <c r="K100" s="658">
        <f t="shared" si="1"/>
        <v>0</v>
      </c>
      <c r="L100" s="68"/>
      <c r="M100" s="654">
        <f t="shared" si="2"/>
        <v>0</v>
      </c>
      <c r="N100" s="659"/>
      <c r="O100" s="658">
        <f t="shared" si="3"/>
        <v>0</v>
      </c>
      <c r="P100" s="657"/>
      <c r="Q100" s="654">
        <f t="shared" si="26"/>
        <v>0</v>
      </c>
      <c r="R100" s="68"/>
      <c r="S100" s="654">
        <f t="shared" si="5"/>
        <v>0</v>
      </c>
      <c r="T100" s="68"/>
      <c r="U100" s="654">
        <f t="shared" si="6"/>
        <v>0</v>
      </c>
      <c r="V100" s="659"/>
      <c r="W100" s="658">
        <f t="shared" si="7"/>
        <v>0</v>
      </c>
      <c r="X100" s="68"/>
      <c r="Y100" s="654">
        <f t="shared" si="27"/>
        <v>0</v>
      </c>
      <c r="Z100" s="659"/>
      <c r="AA100" s="658">
        <f t="shared" si="9"/>
        <v>0</v>
      </c>
      <c r="AB100" s="68"/>
      <c r="AC100" s="654">
        <f t="shared" si="10"/>
        <v>0</v>
      </c>
      <c r="AD100" s="660">
        <v>13.5</v>
      </c>
      <c r="AE100" s="661"/>
      <c r="AF100" s="1212"/>
      <c r="AG100" s="662">
        <f t="shared" si="55"/>
        <v>4.5</v>
      </c>
      <c r="AH100" s="663">
        <f t="shared" si="56"/>
        <v>0</v>
      </c>
      <c r="AI100" s="664">
        <f t="shared" si="51"/>
        <v>0</v>
      </c>
      <c r="AJ100" s="665">
        <f t="shared" si="52"/>
        <v>0</v>
      </c>
      <c r="AK100" s="1528">
        <v>0</v>
      </c>
      <c r="AL100" s="787"/>
      <c r="AM100" s="647"/>
      <c r="AN100" s="739"/>
      <c r="AO100" s="748"/>
      <c r="AP100" s="1528"/>
    </row>
    <row r="101" spans="1:42" ht="21.75">
      <c r="A101" s="1150"/>
      <c r="B101" s="1580" t="s">
        <v>1047</v>
      </c>
      <c r="C101" s="1210"/>
      <c r="D101" s="1211" t="s">
        <v>738</v>
      </c>
      <c r="E101" s="999">
        <v>25</v>
      </c>
      <c r="F101" s="659"/>
      <c r="G101" s="658">
        <f t="shared" si="30"/>
        <v>0</v>
      </c>
      <c r="H101" s="68"/>
      <c r="I101" s="654">
        <f t="shared" si="0"/>
        <v>0</v>
      </c>
      <c r="J101" s="659"/>
      <c r="K101" s="658">
        <f t="shared" si="1"/>
        <v>0</v>
      </c>
      <c r="L101" s="68"/>
      <c r="M101" s="654">
        <f t="shared" si="2"/>
        <v>0</v>
      </c>
      <c r="N101" s="659"/>
      <c r="O101" s="658">
        <f t="shared" si="3"/>
        <v>0</v>
      </c>
      <c r="P101" s="657"/>
      <c r="Q101" s="654">
        <f t="shared" si="26"/>
        <v>0</v>
      </c>
      <c r="R101" s="68"/>
      <c r="S101" s="654">
        <f t="shared" si="5"/>
        <v>0</v>
      </c>
      <c r="T101" s="68"/>
      <c r="U101" s="654">
        <f t="shared" si="6"/>
        <v>0</v>
      </c>
      <c r="V101" s="659"/>
      <c r="W101" s="658">
        <f t="shared" si="7"/>
        <v>0</v>
      </c>
      <c r="X101" s="68"/>
      <c r="Y101" s="654">
        <f t="shared" si="27"/>
        <v>0</v>
      </c>
      <c r="Z101" s="659"/>
      <c r="AA101" s="658">
        <f t="shared" si="9"/>
        <v>0</v>
      </c>
      <c r="AB101" s="68"/>
      <c r="AC101" s="654">
        <f t="shared" si="10"/>
        <v>0</v>
      </c>
      <c r="AD101" s="660">
        <f>'[1]Commande Souvenirs, librairie'!F158</f>
        <v>12</v>
      </c>
      <c r="AE101" s="661"/>
      <c r="AF101" s="1212"/>
      <c r="AG101" s="662">
        <f t="shared" si="55"/>
        <v>13</v>
      </c>
      <c r="AH101" s="663">
        <f t="shared" si="56"/>
        <v>0</v>
      </c>
      <c r="AI101" s="664">
        <f t="shared" si="51"/>
        <v>0</v>
      </c>
      <c r="AJ101" s="665">
        <f t="shared" si="52"/>
        <v>0</v>
      </c>
      <c r="AK101" s="1528">
        <f>28+5</f>
        <v>33</v>
      </c>
      <c r="AL101" s="787"/>
      <c r="AM101" s="647"/>
      <c r="AN101" s="739"/>
      <c r="AO101" s="748"/>
      <c r="AP101" s="1528"/>
    </row>
    <row r="102" spans="1:42" ht="21.75">
      <c r="A102" s="1150"/>
      <c r="B102" s="1580" t="s">
        <v>1048</v>
      </c>
      <c r="C102" s="1582"/>
      <c r="D102" s="525" t="s">
        <v>393</v>
      </c>
      <c r="E102" s="999">
        <v>21</v>
      </c>
      <c r="F102" s="659"/>
      <c r="G102" s="658">
        <f t="shared" si="30"/>
        <v>0</v>
      </c>
      <c r="H102" s="68"/>
      <c r="I102" s="654">
        <f t="shared" si="0"/>
        <v>0</v>
      </c>
      <c r="J102" s="659"/>
      <c r="K102" s="658">
        <f t="shared" si="1"/>
        <v>0</v>
      </c>
      <c r="L102" s="68"/>
      <c r="M102" s="654">
        <f t="shared" si="2"/>
        <v>0</v>
      </c>
      <c r="N102" s="659"/>
      <c r="O102" s="658">
        <f t="shared" si="3"/>
        <v>0</v>
      </c>
      <c r="P102" s="657"/>
      <c r="Q102" s="654">
        <f t="shared" si="26"/>
        <v>0</v>
      </c>
      <c r="R102" s="68"/>
      <c r="S102" s="654"/>
      <c r="T102" s="68"/>
      <c r="U102" s="654">
        <f t="shared" si="6"/>
        <v>0</v>
      </c>
      <c r="V102" s="659"/>
      <c r="W102" s="658">
        <f t="shared" si="7"/>
        <v>0</v>
      </c>
      <c r="X102" s="68"/>
      <c r="Y102" s="654">
        <f t="shared" si="27"/>
        <v>0</v>
      </c>
      <c r="Z102" s="659"/>
      <c r="AA102" s="658">
        <f t="shared" si="9"/>
        <v>0</v>
      </c>
      <c r="AB102" s="68"/>
      <c r="AC102" s="654">
        <f t="shared" si="10"/>
        <v>0</v>
      </c>
      <c r="AD102" s="660">
        <v>13.24</v>
      </c>
      <c r="AE102" s="661"/>
      <c r="AF102" s="1226"/>
      <c r="AG102" s="662">
        <f t="shared" si="55"/>
        <v>7.76</v>
      </c>
      <c r="AH102" s="663">
        <f t="shared" si="56"/>
        <v>0</v>
      </c>
      <c r="AI102" s="664">
        <f>AC102+AA102+Y102</f>
        <v>0</v>
      </c>
      <c r="AJ102" s="665">
        <f>AB102+Z102+X102</f>
        <v>0</v>
      </c>
      <c r="AK102" s="1528">
        <v>8</v>
      </c>
      <c r="AL102" s="737"/>
      <c r="AM102" s="746"/>
      <c r="AN102" s="747"/>
      <c r="AO102" s="748"/>
      <c r="AP102" s="1528"/>
    </row>
    <row r="103" spans="1:42" ht="21.75">
      <c r="A103" s="1150"/>
      <c r="B103" s="1580" t="s">
        <v>1049</v>
      </c>
      <c r="C103" s="1554" t="s">
        <v>590</v>
      </c>
      <c r="D103" s="525" t="s">
        <v>744</v>
      </c>
      <c r="E103" s="999">
        <v>15</v>
      </c>
      <c r="F103" s="659"/>
      <c r="G103" s="658">
        <f t="shared" si="30"/>
        <v>0</v>
      </c>
      <c r="H103" s="68"/>
      <c r="I103" s="654">
        <f t="shared" si="0"/>
        <v>0</v>
      </c>
      <c r="J103" s="659"/>
      <c r="K103" s="658">
        <f t="shared" si="1"/>
        <v>0</v>
      </c>
      <c r="L103" s="68"/>
      <c r="M103" s="654">
        <f t="shared" si="2"/>
        <v>0</v>
      </c>
      <c r="N103" s="659"/>
      <c r="O103" s="658">
        <f t="shared" si="3"/>
        <v>0</v>
      </c>
      <c r="P103" s="657"/>
      <c r="Q103" s="654">
        <f t="shared" si="26"/>
        <v>0</v>
      </c>
      <c r="R103" s="68"/>
      <c r="S103" s="654">
        <f aca="true" t="shared" si="60" ref="S103:S116">R103*E103</f>
        <v>0</v>
      </c>
      <c r="T103" s="68"/>
      <c r="U103" s="654">
        <f t="shared" si="6"/>
        <v>0</v>
      </c>
      <c r="V103" s="659"/>
      <c r="W103" s="658">
        <f t="shared" si="7"/>
        <v>0</v>
      </c>
      <c r="X103" s="68"/>
      <c r="Y103" s="654">
        <f t="shared" si="27"/>
        <v>0</v>
      </c>
      <c r="Z103" s="659"/>
      <c r="AA103" s="658">
        <f t="shared" si="9"/>
        <v>0</v>
      </c>
      <c r="AB103" s="68"/>
      <c r="AC103" s="654">
        <f t="shared" si="10"/>
        <v>0</v>
      </c>
      <c r="AD103" s="660">
        <v>10</v>
      </c>
      <c r="AE103" s="661"/>
      <c r="AF103" s="1226"/>
      <c r="AG103" s="662">
        <f t="shared" si="55"/>
        <v>5</v>
      </c>
      <c r="AH103" s="663">
        <f t="shared" si="56"/>
        <v>0</v>
      </c>
      <c r="AI103" s="664">
        <f aca="true" t="shared" si="61" ref="AI103:AI104">SUM(AC103+AA103+Y103+W103+U103+S103+Q103+O103+M103+K103+I103+G103)</f>
        <v>0</v>
      </c>
      <c r="AJ103" s="665">
        <f aca="true" t="shared" si="62" ref="AJ103:AJ104">SUM(F103+H103+J103+L103+N103+P103+R103+T103+V103+X103+Z103+AB103)</f>
        <v>0</v>
      </c>
      <c r="AK103" s="1528">
        <v>12</v>
      </c>
      <c r="AL103" s="737"/>
      <c r="AM103" s="746"/>
      <c r="AN103" s="747"/>
      <c r="AO103" s="748"/>
      <c r="AP103" s="1528"/>
    </row>
    <row r="104" spans="1:42" ht="21.75">
      <c r="A104" s="1150"/>
      <c r="B104" s="1583" t="s">
        <v>1050</v>
      </c>
      <c r="C104" s="1217"/>
      <c r="D104" s="1231" t="s">
        <v>747</v>
      </c>
      <c r="E104" s="999">
        <v>39.9</v>
      </c>
      <c r="F104" s="659"/>
      <c r="G104" s="658">
        <f t="shared" si="30"/>
        <v>0</v>
      </c>
      <c r="H104" s="68"/>
      <c r="I104" s="654">
        <f t="shared" si="0"/>
        <v>0</v>
      </c>
      <c r="J104" s="659"/>
      <c r="K104" s="658">
        <f t="shared" si="1"/>
        <v>0</v>
      </c>
      <c r="L104" s="68"/>
      <c r="M104" s="654">
        <f t="shared" si="2"/>
        <v>0</v>
      </c>
      <c r="N104" s="659"/>
      <c r="O104" s="658">
        <f t="shared" si="3"/>
        <v>0</v>
      </c>
      <c r="P104" s="657"/>
      <c r="Q104" s="654">
        <f t="shared" si="26"/>
        <v>0</v>
      </c>
      <c r="R104" s="68"/>
      <c r="S104" s="654">
        <f t="shared" si="60"/>
        <v>0</v>
      </c>
      <c r="T104" s="68"/>
      <c r="U104" s="654">
        <f t="shared" si="6"/>
        <v>0</v>
      </c>
      <c r="V104" s="659"/>
      <c r="W104" s="658">
        <f t="shared" si="7"/>
        <v>0</v>
      </c>
      <c r="X104" s="68"/>
      <c r="Y104" s="654">
        <f t="shared" si="27"/>
        <v>0</v>
      </c>
      <c r="Z104" s="659"/>
      <c r="AA104" s="658">
        <f t="shared" si="9"/>
        <v>0</v>
      </c>
      <c r="AB104" s="68"/>
      <c r="AC104" s="654">
        <f t="shared" si="10"/>
        <v>0</v>
      </c>
      <c r="AD104" s="660">
        <f>'[1]Commande Souvenirs, librairie'!F155</f>
        <v>27.85</v>
      </c>
      <c r="AE104" s="661"/>
      <c r="AF104" s="1212"/>
      <c r="AG104" s="662">
        <f t="shared" si="55"/>
        <v>12.049999999999997</v>
      </c>
      <c r="AH104" s="663">
        <f t="shared" si="56"/>
        <v>0</v>
      </c>
      <c r="AI104" s="664">
        <f t="shared" si="61"/>
        <v>0</v>
      </c>
      <c r="AJ104" s="665">
        <f t="shared" si="62"/>
        <v>0</v>
      </c>
      <c r="AK104" s="1528">
        <v>21</v>
      </c>
      <c r="AL104" s="787"/>
      <c r="AM104" s="647"/>
      <c r="AN104" s="739"/>
      <c r="AO104" s="748"/>
      <c r="AP104" s="1528"/>
    </row>
    <row r="105" spans="1:42" ht="21.75" customHeight="1">
      <c r="A105" s="1584" t="s">
        <v>1051</v>
      </c>
      <c r="B105" s="1577" t="s">
        <v>1052</v>
      </c>
      <c r="C105" s="1585" t="s">
        <v>1053</v>
      </c>
      <c r="D105" s="1586" t="s">
        <v>1054</v>
      </c>
      <c r="E105" s="999">
        <v>22.5</v>
      </c>
      <c r="F105" s="659"/>
      <c r="G105" s="658">
        <f t="shared" si="30"/>
        <v>0</v>
      </c>
      <c r="H105" s="68"/>
      <c r="I105" s="654">
        <f t="shared" si="0"/>
        <v>0</v>
      </c>
      <c r="J105" s="659"/>
      <c r="K105" s="658">
        <f t="shared" si="1"/>
        <v>0</v>
      </c>
      <c r="L105" s="68"/>
      <c r="M105" s="654">
        <f t="shared" si="2"/>
        <v>0</v>
      </c>
      <c r="N105" s="659"/>
      <c r="O105" s="658">
        <f t="shared" si="3"/>
        <v>0</v>
      </c>
      <c r="P105" s="657"/>
      <c r="Q105" s="654">
        <f t="shared" si="26"/>
        <v>0</v>
      </c>
      <c r="R105" s="68"/>
      <c r="S105" s="654">
        <f t="shared" si="60"/>
        <v>0</v>
      </c>
      <c r="T105" s="68"/>
      <c r="U105" s="654">
        <f t="shared" si="6"/>
        <v>0</v>
      </c>
      <c r="V105" s="659"/>
      <c r="W105" s="658">
        <f t="shared" si="7"/>
        <v>0</v>
      </c>
      <c r="X105" s="68"/>
      <c r="Y105" s="654">
        <f t="shared" si="27"/>
        <v>0</v>
      </c>
      <c r="Z105" s="659"/>
      <c r="AA105" s="658">
        <f t="shared" si="9"/>
        <v>0</v>
      </c>
      <c r="AB105" s="68"/>
      <c r="AC105" s="654">
        <f t="shared" si="10"/>
        <v>0</v>
      </c>
      <c r="AD105" s="660"/>
      <c r="AE105" s="661"/>
      <c r="AF105" s="1212"/>
      <c r="AG105" s="662"/>
      <c r="AH105" s="663"/>
      <c r="AI105" s="664"/>
      <c r="AJ105" s="665"/>
      <c r="AK105" s="1528"/>
      <c r="AL105" s="737"/>
      <c r="AM105" s="746"/>
      <c r="AN105" s="747"/>
      <c r="AO105" s="748"/>
      <c r="AP105" s="1528"/>
    </row>
    <row r="106" spans="1:42" ht="21.75">
      <c r="A106" s="1584"/>
      <c r="B106" s="1580" t="s">
        <v>1055</v>
      </c>
      <c r="C106" s="1558" t="s">
        <v>1056</v>
      </c>
      <c r="D106" s="1159" t="s">
        <v>1057</v>
      </c>
      <c r="E106" s="999">
        <v>16.5</v>
      </c>
      <c r="F106" s="659"/>
      <c r="G106" s="658">
        <f t="shared" si="30"/>
        <v>0</v>
      </c>
      <c r="H106" s="68"/>
      <c r="I106" s="654">
        <f t="shared" si="0"/>
        <v>0</v>
      </c>
      <c r="J106" s="659"/>
      <c r="K106" s="658">
        <f t="shared" si="1"/>
        <v>0</v>
      </c>
      <c r="L106" s="68"/>
      <c r="M106" s="654">
        <f t="shared" si="2"/>
        <v>0</v>
      </c>
      <c r="N106" s="659"/>
      <c r="O106" s="658">
        <f t="shared" si="3"/>
        <v>0</v>
      </c>
      <c r="P106" s="657"/>
      <c r="Q106" s="654">
        <f t="shared" si="26"/>
        <v>0</v>
      </c>
      <c r="R106" s="68"/>
      <c r="S106" s="654">
        <f t="shared" si="60"/>
        <v>0</v>
      </c>
      <c r="T106" s="68"/>
      <c r="U106" s="654">
        <f t="shared" si="6"/>
        <v>0</v>
      </c>
      <c r="V106" s="659"/>
      <c r="W106" s="658">
        <f t="shared" si="7"/>
        <v>0</v>
      </c>
      <c r="X106" s="68"/>
      <c r="Y106" s="654">
        <f t="shared" si="27"/>
        <v>0</v>
      </c>
      <c r="Z106" s="659"/>
      <c r="AA106" s="658">
        <f t="shared" si="9"/>
        <v>0</v>
      </c>
      <c r="AB106" s="68"/>
      <c r="AC106" s="654">
        <f t="shared" si="10"/>
        <v>0</v>
      </c>
      <c r="AD106" s="660">
        <f>'[1]Commande Souvenirs, librairie'!F109</f>
        <v>12.2</v>
      </c>
      <c r="AE106" s="661"/>
      <c r="AF106" s="1121"/>
      <c r="AG106" s="662">
        <f aca="true" t="shared" si="63" ref="AG106:AG113">E106-AD106</f>
        <v>4.300000000000001</v>
      </c>
      <c r="AH106" s="663">
        <f aca="true" t="shared" si="64" ref="AH106:AH113">AG106*AJ106</f>
        <v>0</v>
      </c>
      <c r="AI106" s="664">
        <f aca="true" t="shared" si="65" ref="AI106:AI116">SUM(AC106+AA106+Y106+W106+U106+S106+Q106+O106+M106+K106+I106+G106)</f>
        <v>0</v>
      </c>
      <c r="AJ106" s="665">
        <f aca="true" t="shared" si="66" ref="AJ106:AJ116">SUM(F106+H106+J106+L106+N106+P106+R106+T106+V106+X106+Z106+AB106)</f>
        <v>0</v>
      </c>
      <c r="AK106" s="1528">
        <v>19</v>
      </c>
      <c r="AL106" s="737"/>
      <c r="AM106" s="746"/>
      <c r="AN106" s="747"/>
      <c r="AO106" s="748"/>
      <c r="AP106" s="1528"/>
    </row>
    <row r="107" spans="1:42" ht="21.75">
      <c r="A107" s="1584"/>
      <c r="B107" s="1580" t="s">
        <v>1058</v>
      </c>
      <c r="C107" s="1558"/>
      <c r="D107" s="1159" t="s">
        <v>1059</v>
      </c>
      <c r="E107" s="999">
        <v>4.9</v>
      </c>
      <c r="F107" s="659"/>
      <c r="G107" s="658">
        <f t="shared" si="30"/>
        <v>0</v>
      </c>
      <c r="H107" s="68"/>
      <c r="I107" s="654">
        <f t="shared" si="0"/>
        <v>0</v>
      </c>
      <c r="J107" s="659"/>
      <c r="K107" s="658">
        <f t="shared" si="1"/>
        <v>0</v>
      </c>
      <c r="L107" s="68"/>
      <c r="M107" s="654">
        <f t="shared" si="2"/>
        <v>0</v>
      </c>
      <c r="N107" s="659"/>
      <c r="O107" s="658">
        <f t="shared" si="3"/>
        <v>0</v>
      </c>
      <c r="P107" s="657"/>
      <c r="Q107" s="654">
        <f t="shared" si="26"/>
        <v>0</v>
      </c>
      <c r="R107" s="68"/>
      <c r="S107" s="654">
        <f t="shared" si="60"/>
        <v>0</v>
      </c>
      <c r="T107" s="68"/>
      <c r="U107" s="654">
        <f t="shared" si="6"/>
        <v>0</v>
      </c>
      <c r="V107" s="659"/>
      <c r="W107" s="658">
        <f t="shared" si="7"/>
        <v>0</v>
      </c>
      <c r="X107" s="68"/>
      <c r="Y107" s="654">
        <f t="shared" si="27"/>
        <v>0</v>
      </c>
      <c r="Z107" s="659"/>
      <c r="AA107" s="658">
        <f t="shared" si="9"/>
        <v>0</v>
      </c>
      <c r="AB107" s="68"/>
      <c r="AC107" s="654">
        <f t="shared" si="10"/>
        <v>0</v>
      </c>
      <c r="AD107" s="660">
        <f>'[1]Commande Souvenirs, librairie'!F111</f>
        <v>3.12</v>
      </c>
      <c r="AE107" s="661"/>
      <c r="AF107" s="1121"/>
      <c r="AG107" s="662">
        <f t="shared" si="63"/>
        <v>1.7800000000000002</v>
      </c>
      <c r="AH107" s="663">
        <f t="shared" si="64"/>
        <v>0</v>
      </c>
      <c r="AI107" s="664">
        <f t="shared" si="65"/>
        <v>0</v>
      </c>
      <c r="AJ107" s="665">
        <f t="shared" si="66"/>
        <v>0</v>
      </c>
      <c r="AK107" s="1528">
        <v>6</v>
      </c>
      <c r="AL107" s="737"/>
      <c r="AM107" s="746"/>
      <c r="AN107" s="747"/>
      <c r="AO107" s="748"/>
      <c r="AP107" s="1528"/>
    </row>
    <row r="108" spans="1:42" ht="21.75">
      <c r="A108" s="1584"/>
      <c r="B108" s="1580" t="s">
        <v>1060</v>
      </c>
      <c r="C108" s="1558"/>
      <c r="D108" s="1162" t="s">
        <v>1061</v>
      </c>
      <c r="E108" s="1011">
        <v>4.2</v>
      </c>
      <c r="F108" s="706"/>
      <c r="G108" s="705">
        <f t="shared" si="30"/>
        <v>0</v>
      </c>
      <c r="H108" s="703"/>
      <c r="I108" s="700">
        <f t="shared" si="0"/>
        <v>0</v>
      </c>
      <c r="J108" s="706"/>
      <c r="K108" s="705">
        <f t="shared" si="1"/>
        <v>0</v>
      </c>
      <c r="L108" s="703"/>
      <c r="M108" s="700">
        <f t="shared" si="2"/>
        <v>0</v>
      </c>
      <c r="N108" s="706"/>
      <c r="O108" s="705">
        <f t="shared" si="3"/>
        <v>0</v>
      </c>
      <c r="P108" s="704"/>
      <c r="Q108" s="700">
        <f t="shared" si="26"/>
        <v>0</v>
      </c>
      <c r="R108" s="703"/>
      <c r="S108" s="700">
        <f t="shared" si="60"/>
        <v>0</v>
      </c>
      <c r="T108" s="703"/>
      <c r="U108" s="700">
        <f t="shared" si="6"/>
        <v>0</v>
      </c>
      <c r="V108" s="706"/>
      <c r="W108" s="705">
        <f t="shared" si="7"/>
        <v>0</v>
      </c>
      <c r="X108" s="703"/>
      <c r="Y108" s="700">
        <f t="shared" si="27"/>
        <v>0</v>
      </c>
      <c r="Z108" s="706"/>
      <c r="AA108" s="705">
        <f t="shared" si="9"/>
        <v>0</v>
      </c>
      <c r="AB108" s="703"/>
      <c r="AC108" s="700">
        <f t="shared" si="10"/>
        <v>0</v>
      </c>
      <c r="AD108" s="707">
        <f>'[1]Commande Souvenirs, librairie'!F114</f>
        <v>3.12</v>
      </c>
      <c r="AE108" s="708"/>
      <c r="AF108" s="1121"/>
      <c r="AG108" s="709">
        <f t="shared" si="63"/>
        <v>1.08</v>
      </c>
      <c r="AH108" s="710">
        <f t="shared" si="64"/>
        <v>0</v>
      </c>
      <c r="AI108" s="711">
        <f t="shared" si="65"/>
        <v>0</v>
      </c>
      <c r="AJ108" s="712">
        <f t="shared" si="66"/>
        <v>0</v>
      </c>
      <c r="AK108" s="1528">
        <f>40+6+1+2+6+3</f>
        <v>58</v>
      </c>
      <c r="AL108" s="737"/>
      <c r="AM108" s="746"/>
      <c r="AN108" s="747"/>
      <c r="AO108" s="748"/>
      <c r="AP108" s="1528"/>
    </row>
    <row r="109" spans="1:42" ht="21.75" customHeight="1" hidden="1">
      <c r="A109" s="1584"/>
      <c r="B109" s="1580" t="s">
        <v>1062</v>
      </c>
      <c r="C109" s="1587" t="s">
        <v>413</v>
      </c>
      <c r="D109" s="1156" t="s">
        <v>1063</v>
      </c>
      <c r="E109" s="986">
        <v>11.9</v>
      </c>
      <c r="F109" s="637"/>
      <c r="G109" s="636">
        <f t="shared" si="30"/>
        <v>0</v>
      </c>
      <c r="H109" s="634"/>
      <c r="I109" s="631">
        <f t="shared" si="0"/>
        <v>0</v>
      </c>
      <c r="J109" s="637"/>
      <c r="K109" s="636">
        <f t="shared" si="1"/>
        <v>0</v>
      </c>
      <c r="L109" s="634"/>
      <c r="M109" s="631">
        <f t="shared" si="2"/>
        <v>0</v>
      </c>
      <c r="N109" s="637"/>
      <c r="O109" s="636">
        <f t="shared" si="3"/>
        <v>0</v>
      </c>
      <c r="P109" s="635"/>
      <c r="Q109" s="631">
        <f t="shared" si="26"/>
        <v>0</v>
      </c>
      <c r="R109" s="634"/>
      <c r="S109" s="631">
        <f t="shared" si="60"/>
        <v>0</v>
      </c>
      <c r="T109" s="634"/>
      <c r="U109" s="631">
        <f t="shared" si="6"/>
        <v>0</v>
      </c>
      <c r="V109" s="637"/>
      <c r="W109" s="636">
        <f t="shared" si="7"/>
        <v>0</v>
      </c>
      <c r="X109" s="634"/>
      <c r="Y109" s="631">
        <f t="shared" si="27"/>
        <v>0</v>
      </c>
      <c r="Z109" s="637"/>
      <c r="AA109" s="636">
        <f t="shared" si="9"/>
        <v>0</v>
      </c>
      <c r="AB109" s="634"/>
      <c r="AC109" s="631">
        <f t="shared" si="10"/>
        <v>0</v>
      </c>
      <c r="AD109" s="638">
        <f>'[1]Commande Souvenirs, librairie'!F115</f>
        <v>6.61</v>
      </c>
      <c r="AE109" s="639"/>
      <c r="AF109" s="640">
        <v>0.1</v>
      </c>
      <c r="AG109" s="641">
        <f t="shared" si="63"/>
        <v>5.29</v>
      </c>
      <c r="AH109" s="642">
        <f t="shared" si="64"/>
        <v>0</v>
      </c>
      <c r="AI109" s="643">
        <f t="shared" si="65"/>
        <v>0</v>
      </c>
      <c r="AJ109" s="644">
        <f t="shared" si="66"/>
        <v>0</v>
      </c>
      <c r="AK109" s="1528">
        <v>0</v>
      </c>
      <c r="AL109" s="737"/>
      <c r="AM109" s="746"/>
      <c r="AN109" s="747"/>
      <c r="AO109" s="748"/>
      <c r="AP109" s="1528"/>
    </row>
    <row r="110" spans="1:42" ht="21.75" customHeight="1" hidden="1">
      <c r="A110" s="1584"/>
      <c r="B110" s="1580" t="s">
        <v>1064</v>
      </c>
      <c r="C110" s="1587"/>
      <c r="D110" s="1159" t="s">
        <v>578</v>
      </c>
      <c r="E110" s="999">
        <v>4.4</v>
      </c>
      <c r="F110" s="659"/>
      <c r="G110" s="658">
        <f t="shared" si="30"/>
        <v>0</v>
      </c>
      <c r="H110" s="68"/>
      <c r="I110" s="654">
        <f t="shared" si="0"/>
        <v>0</v>
      </c>
      <c r="J110" s="659"/>
      <c r="K110" s="658">
        <f t="shared" si="1"/>
        <v>0</v>
      </c>
      <c r="L110" s="68"/>
      <c r="M110" s="654">
        <f t="shared" si="2"/>
        <v>0</v>
      </c>
      <c r="N110" s="659"/>
      <c r="O110" s="658">
        <f t="shared" si="3"/>
        <v>0</v>
      </c>
      <c r="P110" s="657"/>
      <c r="Q110" s="654">
        <f t="shared" si="26"/>
        <v>0</v>
      </c>
      <c r="R110" s="68"/>
      <c r="S110" s="654">
        <f t="shared" si="60"/>
        <v>0</v>
      </c>
      <c r="T110" s="68"/>
      <c r="U110" s="654">
        <f t="shared" si="6"/>
        <v>0</v>
      </c>
      <c r="V110" s="659"/>
      <c r="W110" s="658">
        <f t="shared" si="7"/>
        <v>0</v>
      </c>
      <c r="X110" s="68"/>
      <c r="Y110" s="654">
        <f t="shared" si="27"/>
        <v>0</v>
      </c>
      <c r="Z110" s="659"/>
      <c r="AA110" s="658">
        <f t="shared" si="9"/>
        <v>0</v>
      </c>
      <c r="AB110" s="68"/>
      <c r="AC110" s="654">
        <f t="shared" si="10"/>
        <v>0</v>
      </c>
      <c r="AD110" s="660">
        <f>'[1]Commande Souvenirs, librairie'!F116</f>
        <v>2.44</v>
      </c>
      <c r="AE110" s="661"/>
      <c r="AF110" s="640"/>
      <c r="AG110" s="662">
        <f t="shared" si="63"/>
        <v>1.9600000000000004</v>
      </c>
      <c r="AH110" s="663">
        <f t="shared" si="64"/>
        <v>0</v>
      </c>
      <c r="AI110" s="664">
        <f t="shared" si="65"/>
        <v>0</v>
      </c>
      <c r="AJ110" s="665">
        <f t="shared" si="66"/>
        <v>0</v>
      </c>
      <c r="AK110" s="1528">
        <v>0</v>
      </c>
      <c r="AL110" s="737"/>
      <c r="AM110" s="746"/>
      <c r="AN110" s="747"/>
      <c r="AO110" s="748"/>
      <c r="AP110" s="1528"/>
    </row>
    <row r="111" spans="1:42" ht="21.75" customHeight="1" hidden="1">
      <c r="A111" s="1584"/>
      <c r="B111" s="1580" t="s">
        <v>1065</v>
      </c>
      <c r="C111" s="1587"/>
      <c r="D111" s="1159" t="s">
        <v>1066</v>
      </c>
      <c r="E111" s="999">
        <v>21.4</v>
      </c>
      <c r="F111" s="659"/>
      <c r="G111" s="658">
        <f t="shared" si="30"/>
        <v>0</v>
      </c>
      <c r="H111" s="68"/>
      <c r="I111" s="654">
        <f t="shared" si="0"/>
        <v>0</v>
      </c>
      <c r="J111" s="659"/>
      <c r="K111" s="658">
        <f t="shared" si="1"/>
        <v>0</v>
      </c>
      <c r="L111" s="68"/>
      <c r="M111" s="654">
        <f t="shared" si="2"/>
        <v>0</v>
      </c>
      <c r="N111" s="659"/>
      <c r="O111" s="658">
        <f t="shared" si="3"/>
        <v>0</v>
      </c>
      <c r="P111" s="657"/>
      <c r="Q111" s="654">
        <f t="shared" si="26"/>
        <v>0</v>
      </c>
      <c r="R111" s="68"/>
      <c r="S111" s="654">
        <f t="shared" si="60"/>
        <v>0</v>
      </c>
      <c r="T111" s="68"/>
      <c r="U111" s="654">
        <f t="shared" si="6"/>
        <v>0</v>
      </c>
      <c r="V111" s="659"/>
      <c r="W111" s="658">
        <f t="shared" si="7"/>
        <v>0</v>
      </c>
      <c r="X111" s="68"/>
      <c r="Y111" s="654">
        <f t="shared" si="27"/>
        <v>0</v>
      </c>
      <c r="Z111" s="659"/>
      <c r="AA111" s="658">
        <f t="shared" si="9"/>
        <v>0</v>
      </c>
      <c r="AB111" s="68"/>
      <c r="AC111" s="654">
        <f t="shared" si="10"/>
        <v>0</v>
      </c>
      <c r="AD111" s="660">
        <f>'[1]Commande Souvenirs, librairie'!F119</f>
        <v>11.89</v>
      </c>
      <c r="AE111" s="661"/>
      <c r="AF111" s="640"/>
      <c r="AG111" s="662">
        <f t="shared" si="63"/>
        <v>9.509999999999998</v>
      </c>
      <c r="AH111" s="663">
        <f t="shared" si="64"/>
        <v>0</v>
      </c>
      <c r="AI111" s="664">
        <f t="shared" si="65"/>
        <v>0</v>
      </c>
      <c r="AJ111" s="665">
        <f t="shared" si="66"/>
        <v>0</v>
      </c>
      <c r="AK111" s="1528">
        <v>0</v>
      </c>
      <c r="AL111" s="737"/>
      <c r="AM111" s="746"/>
      <c r="AN111" s="747"/>
      <c r="AO111" s="748"/>
      <c r="AP111" s="1528"/>
    </row>
    <row r="112" spans="1:42" ht="21.75" customHeight="1" hidden="1">
      <c r="A112" s="1584"/>
      <c r="B112" s="1580" t="s">
        <v>1067</v>
      </c>
      <c r="C112" s="1587"/>
      <c r="D112" s="1159" t="s">
        <v>1068</v>
      </c>
      <c r="E112" s="999">
        <v>5.4</v>
      </c>
      <c r="F112" s="659"/>
      <c r="G112" s="658">
        <f t="shared" si="30"/>
        <v>0</v>
      </c>
      <c r="H112" s="68"/>
      <c r="I112" s="654">
        <f t="shared" si="0"/>
        <v>0</v>
      </c>
      <c r="J112" s="659"/>
      <c r="K112" s="658">
        <f t="shared" si="1"/>
        <v>0</v>
      </c>
      <c r="L112" s="68"/>
      <c r="M112" s="654">
        <f t="shared" si="2"/>
        <v>0</v>
      </c>
      <c r="N112" s="659"/>
      <c r="O112" s="658">
        <f t="shared" si="3"/>
        <v>0</v>
      </c>
      <c r="P112" s="657"/>
      <c r="Q112" s="654">
        <f t="shared" si="26"/>
        <v>0</v>
      </c>
      <c r="R112" s="68"/>
      <c r="S112" s="654">
        <f t="shared" si="60"/>
        <v>0</v>
      </c>
      <c r="T112" s="68"/>
      <c r="U112" s="654">
        <f t="shared" si="6"/>
        <v>0</v>
      </c>
      <c r="V112" s="659"/>
      <c r="W112" s="658">
        <f t="shared" si="7"/>
        <v>0</v>
      </c>
      <c r="X112" s="68"/>
      <c r="Y112" s="654">
        <f t="shared" si="27"/>
        <v>0</v>
      </c>
      <c r="Z112" s="659"/>
      <c r="AA112" s="658">
        <f t="shared" si="9"/>
        <v>0</v>
      </c>
      <c r="AB112" s="68"/>
      <c r="AC112" s="654">
        <f t="shared" si="10"/>
        <v>0</v>
      </c>
      <c r="AD112" s="660">
        <f>'[1]Commande Souvenirs, librairie'!F118</f>
        <v>3</v>
      </c>
      <c r="AE112" s="661"/>
      <c r="AF112" s="640"/>
      <c r="AG112" s="662">
        <f t="shared" si="63"/>
        <v>2.4000000000000004</v>
      </c>
      <c r="AH112" s="663">
        <f t="shared" si="64"/>
        <v>0</v>
      </c>
      <c r="AI112" s="664">
        <f t="shared" si="65"/>
        <v>0</v>
      </c>
      <c r="AJ112" s="665">
        <f t="shared" si="66"/>
        <v>0</v>
      </c>
      <c r="AK112" s="1528">
        <v>0</v>
      </c>
      <c r="AL112" s="737"/>
      <c r="AM112" s="746"/>
      <c r="AN112" s="747"/>
      <c r="AO112" s="748"/>
      <c r="AP112" s="1528"/>
    </row>
    <row r="113" spans="1:42" ht="21.75" customHeight="1" hidden="1">
      <c r="A113" s="1584"/>
      <c r="B113" s="1588" t="s">
        <v>1069</v>
      </c>
      <c r="C113" s="1587"/>
      <c r="D113" s="1162" t="s">
        <v>1070</v>
      </c>
      <c r="E113" s="1032">
        <v>15</v>
      </c>
      <c r="F113" s="683"/>
      <c r="G113" s="682">
        <f t="shared" si="30"/>
        <v>0</v>
      </c>
      <c r="H113" s="680"/>
      <c r="I113" s="677">
        <f t="shared" si="0"/>
        <v>0</v>
      </c>
      <c r="J113" s="683"/>
      <c r="K113" s="682">
        <f t="shared" si="1"/>
        <v>0</v>
      </c>
      <c r="L113" s="680"/>
      <c r="M113" s="677">
        <f t="shared" si="2"/>
        <v>0</v>
      </c>
      <c r="N113" s="683"/>
      <c r="O113" s="682">
        <f t="shared" si="3"/>
        <v>0</v>
      </c>
      <c r="P113" s="681"/>
      <c r="Q113" s="677">
        <f t="shared" si="26"/>
        <v>0</v>
      </c>
      <c r="R113" s="680"/>
      <c r="S113" s="677">
        <f t="shared" si="60"/>
        <v>0</v>
      </c>
      <c r="T113" s="680"/>
      <c r="U113" s="677">
        <f t="shared" si="6"/>
        <v>0</v>
      </c>
      <c r="V113" s="683"/>
      <c r="W113" s="682">
        <f t="shared" si="7"/>
        <v>0</v>
      </c>
      <c r="X113" s="680"/>
      <c r="Y113" s="677">
        <f t="shared" si="27"/>
        <v>0</v>
      </c>
      <c r="Z113" s="683"/>
      <c r="AA113" s="682">
        <f t="shared" si="9"/>
        <v>0</v>
      </c>
      <c r="AB113" s="680"/>
      <c r="AC113" s="677">
        <f t="shared" si="10"/>
        <v>0</v>
      </c>
      <c r="AD113" s="684">
        <f>'[1]Commande Souvenirs, librairie'!F117</f>
        <v>8.33</v>
      </c>
      <c r="AE113" s="685"/>
      <c r="AF113" s="640"/>
      <c r="AG113" s="686">
        <f t="shared" si="63"/>
        <v>6.67</v>
      </c>
      <c r="AH113" s="687">
        <f t="shared" si="64"/>
        <v>0</v>
      </c>
      <c r="AI113" s="688">
        <f t="shared" si="65"/>
        <v>0</v>
      </c>
      <c r="AJ113" s="689">
        <f t="shared" si="66"/>
        <v>0</v>
      </c>
      <c r="AK113" s="1528">
        <v>0</v>
      </c>
      <c r="AL113" s="737"/>
      <c r="AM113" s="746"/>
      <c r="AN113" s="747"/>
      <c r="AO113" s="748"/>
      <c r="AP113" s="1528"/>
    </row>
    <row r="114" spans="1:42" ht="21.75" customHeight="1">
      <c r="A114" s="821" t="s">
        <v>614</v>
      </c>
      <c r="B114" s="1589"/>
      <c r="C114" s="1275"/>
      <c r="D114" s="1305">
        <v>10</v>
      </c>
      <c r="E114" s="986">
        <v>10</v>
      </c>
      <c r="F114" s="637"/>
      <c r="G114" s="636">
        <f t="shared" si="30"/>
        <v>0</v>
      </c>
      <c r="H114" s="634"/>
      <c r="I114" s="631">
        <f t="shared" si="0"/>
        <v>0</v>
      </c>
      <c r="J114" s="637"/>
      <c r="K114" s="636">
        <f t="shared" si="1"/>
        <v>0</v>
      </c>
      <c r="L114" s="634"/>
      <c r="M114" s="631">
        <f t="shared" si="2"/>
        <v>0</v>
      </c>
      <c r="N114" s="637"/>
      <c r="O114" s="636">
        <f t="shared" si="3"/>
        <v>0</v>
      </c>
      <c r="P114" s="635"/>
      <c r="Q114" s="631">
        <f t="shared" si="26"/>
        <v>0</v>
      </c>
      <c r="R114" s="637"/>
      <c r="S114" s="636">
        <f t="shared" si="60"/>
        <v>0</v>
      </c>
      <c r="T114" s="634"/>
      <c r="U114" s="631">
        <f t="shared" si="6"/>
        <v>0</v>
      </c>
      <c r="V114" s="637"/>
      <c r="W114" s="636">
        <f t="shared" si="7"/>
        <v>0</v>
      </c>
      <c r="X114" s="634"/>
      <c r="Y114" s="631">
        <f t="shared" si="27"/>
        <v>0</v>
      </c>
      <c r="Z114" s="637"/>
      <c r="AA114" s="636">
        <f t="shared" si="9"/>
        <v>0</v>
      </c>
      <c r="AB114" s="634"/>
      <c r="AC114" s="631">
        <f t="shared" si="10"/>
        <v>0</v>
      </c>
      <c r="AD114" s="638"/>
      <c r="AE114" s="639"/>
      <c r="AF114" s="1306"/>
      <c r="AG114" s="641"/>
      <c r="AH114" s="642"/>
      <c r="AI114" s="688">
        <f t="shared" si="65"/>
        <v>0</v>
      </c>
      <c r="AJ114" s="712">
        <f t="shared" si="66"/>
        <v>0</v>
      </c>
      <c r="AK114" s="1590"/>
      <c r="AL114" s="737"/>
      <c r="AM114" s="746"/>
      <c r="AN114" s="747"/>
      <c r="AO114" s="748"/>
      <c r="AP114" s="1590"/>
    </row>
    <row r="115" spans="1:42" ht="21.75">
      <c r="A115" s="821"/>
      <c r="B115" s="1591"/>
      <c r="C115" s="1275"/>
      <c r="D115" s="1309">
        <v>20</v>
      </c>
      <c r="E115" s="999">
        <v>20</v>
      </c>
      <c r="F115" s="659"/>
      <c r="G115" s="658">
        <f t="shared" si="30"/>
        <v>0</v>
      </c>
      <c r="H115" s="68"/>
      <c r="I115" s="654">
        <f t="shared" si="0"/>
        <v>0</v>
      </c>
      <c r="J115" s="659"/>
      <c r="K115" s="658">
        <f t="shared" si="1"/>
        <v>0</v>
      </c>
      <c r="L115" s="68"/>
      <c r="M115" s="654">
        <f t="shared" si="2"/>
        <v>0</v>
      </c>
      <c r="N115" s="659"/>
      <c r="O115" s="658">
        <f t="shared" si="3"/>
        <v>0</v>
      </c>
      <c r="P115" s="657"/>
      <c r="Q115" s="654">
        <f t="shared" si="26"/>
        <v>0</v>
      </c>
      <c r="R115" s="659"/>
      <c r="S115" s="658">
        <f t="shared" si="60"/>
        <v>0</v>
      </c>
      <c r="T115" s="68"/>
      <c r="U115" s="654">
        <f t="shared" si="6"/>
        <v>0</v>
      </c>
      <c r="V115" s="659"/>
      <c r="W115" s="658">
        <f t="shared" si="7"/>
        <v>0</v>
      </c>
      <c r="X115" s="68"/>
      <c r="Y115" s="654">
        <f t="shared" si="27"/>
        <v>0</v>
      </c>
      <c r="Z115" s="659"/>
      <c r="AA115" s="658">
        <f t="shared" si="9"/>
        <v>0</v>
      </c>
      <c r="AB115" s="68"/>
      <c r="AC115" s="654">
        <f t="shared" si="10"/>
        <v>0</v>
      </c>
      <c r="AD115" s="660"/>
      <c r="AE115" s="661"/>
      <c r="AF115" s="1226"/>
      <c r="AG115" s="662"/>
      <c r="AH115" s="663"/>
      <c r="AI115" s="664">
        <f t="shared" si="65"/>
        <v>0</v>
      </c>
      <c r="AJ115" s="712">
        <f t="shared" si="66"/>
        <v>0</v>
      </c>
      <c r="AK115" s="1590"/>
      <c r="AL115" s="737"/>
      <c r="AM115" s="746"/>
      <c r="AN115" s="747"/>
      <c r="AO115" s="748"/>
      <c r="AP115" s="1590"/>
    </row>
    <row r="116" spans="1:42" ht="21.75">
      <c r="A116" s="821"/>
      <c r="B116" s="1592"/>
      <c r="C116" s="1275"/>
      <c r="D116" s="1593">
        <v>30</v>
      </c>
      <c r="E116" s="1076">
        <v>30</v>
      </c>
      <c r="F116" s="912"/>
      <c r="G116" s="911">
        <f t="shared" si="30"/>
        <v>0</v>
      </c>
      <c r="H116" s="88"/>
      <c r="I116" s="907">
        <f t="shared" si="0"/>
        <v>0</v>
      </c>
      <c r="J116" s="912"/>
      <c r="K116" s="911">
        <f t="shared" si="1"/>
        <v>0</v>
      </c>
      <c r="L116" s="88"/>
      <c r="M116" s="907">
        <f t="shared" si="2"/>
        <v>0</v>
      </c>
      <c r="N116" s="912"/>
      <c r="O116" s="911">
        <f t="shared" si="3"/>
        <v>0</v>
      </c>
      <c r="P116" s="910"/>
      <c r="Q116" s="907">
        <f t="shared" si="26"/>
        <v>0</v>
      </c>
      <c r="R116" s="912"/>
      <c r="S116" s="911">
        <f t="shared" si="60"/>
        <v>0</v>
      </c>
      <c r="T116" s="88"/>
      <c r="U116" s="907">
        <f t="shared" si="6"/>
        <v>0</v>
      </c>
      <c r="V116" s="912"/>
      <c r="W116" s="911">
        <f t="shared" si="7"/>
        <v>0</v>
      </c>
      <c r="X116" s="88"/>
      <c r="Y116" s="907">
        <f t="shared" si="27"/>
        <v>0</v>
      </c>
      <c r="Z116" s="912"/>
      <c r="AA116" s="911">
        <f t="shared" si="9"/>
        <v>0</v>
      </c>
      <c r="AB116" s="88"/>
      <c r="AC116" s="907">
        <f t="shared" si="10"/>
        <v>0</v>
      </c>
      <c r="AD116" s="913"/>
      <c r="AE116" s="1078"/>
      <c r="AF116" s="1594"/>
      <c r="AG116" s="1080"/>
      <c r="AH116" s="902"/>
      <c r="AI116" s="798">
        <f t="shared" si="65"/>
        <v>0</v>
      </c>
      <c r="AJ116" s="712">
        <f t="shared" si="66"/>
        <v>0</v>
      </c>
      <c r="AK116" s="1590"/>
      <c r="AL116" s="737"/>
      <c r="AM116" s="746"/>
      <c r="AN116" s="747"/>
      <c r="AO116" s="748"/>
      <c r="AP116" s="1590"/>
    </row>
    <row r="117" spans="1:42" ht="21">
      <c r="A117" s="1320"/>
      <c r="B117" s="1595"/>
      <c r="C117" s="1321"/>
      <c r="D117" s="1322" t="s">
        <v>618</v>
      </c>
      <c r="E117" s="1323"/>
      <c r="F117" s="952">
        <f>SUM(F4:F116)</f>
        <v>0</v>
      </c>
      <c r="G117" s="948">
        <f>SUM(G4:G116)</f>
        <v>0</v>
      </c>
      <c r="H117" s="949">
        <f>SUM(H4:H116)</f>
        <v>0</v>
      </c>
      <c r="I117" s="950">
        <f>SUM(I4:I116)</f>
        <v>0</v>
      </c>
      <c r="J117" s="952">
        <f>SUM(J4:J116)</f>
        <v>0</v>
      </c>
      <c r="K117" s="948">
        <f>SUM(K4:K116)</f>
        <v>0</v>
      </c>
      <c r="L117" s="949">
        <f>SUM(L4:L116)</f>
        <v>3</v>
      </c>
      <c r="M117" s="950">
        <f>SUM(M4:M116)</f>
        <v>29.4</v>
      </c>
      <c r="N117" s="952">
        <f>SUM(N4:N116)</f>
        <v>0</v>
      </c>
      <c r="O117" s="948">
        <f>SUM(O4:O116)</f>
        <v>0</v>
      </c>
      <c r="P117" s="1324">
        <f>SUM(P4:P116)</f>
        <v>1</v>
      </c>
      <c r="Q117" s="950">
        <f>SUM(Q4:Q116)</f>
        <v>21</v>
      </c>
      <c r="R117" s="952">
        <f>SUM(R4:R116)</f>
        <v>0</v>
      </c>
      <c r="S117" s="948">
        <f>SUM(S4:S116)</f>
        <v>0</v>
      </c>
      <c r="T117" s="949">
        <f>SUM(T4:T116)</f>
        <v>0</v>
      </c>
      <c r="U117" s="951">
        <f>SUM(U4:U116)</f>
        <v>0</v>
      </c>
      <c r="V117" s="952">
        <f>SUM(V4:V116)</f>
        <v>0</v>
      </c>
      <c r="W117" s="948">
        <f>SUM(W4:W116)</f>
        <v>0</v>
      </c>
      <c r="X117" s="949">
        <f>SUM(X4:X116)</f>
        <v>0</v>
      </c>
      <c r="Y117" s="950">
        <f>SUM(Y4:Y116)</f>
        <v>0</v>
      </c>
      <c r="Z117" s="952">
        <f>SUM(Z4:Z116)</f>
        <v>0</v>
      </c>
      <c r="AA117" s="948">
        <f>SUM(AA4:AA116)</f>
        <v>0</v>
      </c>
      <c r="AB117" s="949">
        <f>SUM(AB4:AB116)</f>
        <v>0</v>
      </c>
      <c r="AC117" s="950">
        <f>SUM(AC4:AC116)</f>
        <v>0</v>
      </c>
      <c r="AD117" s="953"/>
      <c r="AE117" s="954"/>
      <c r="AF117" s="954"/>
      <c r="AG117" s="1325"/>
      <c r="AH117" s="955">
        <f>SUM(AH4:AH116)</f>
        <v>6.960000000000003</v>
      </c>
      <c r="AI117" s="798">
        <f>SUM(AI4:AI116)</f>
        <v>50.4</v>
      </c>
      <c r="AJ117" s="1596">
        <f>SUM(AJ4:AJ116)</f>
        <v>4</v>
      </c>
      <c r="AK117" s="1597"/>
      <c r="AL117" s="892"/>
      <c r="AM117" s="788"/>
      <c r="AN117" s="957"/>
      <c r="AO117" s="958"/>
      <c r="AP117" s="1597"/>
    </row>
    <row r="118" ht="13.5"/>
    <row r="119" spans="6:29" ht="12.75">
      <c r="F119" t="s">
        <v>803</v>
      </c>
      <c r="G119" t="s">
        <v>804</v>
      </c>
      <c r="H119" t="s">
        <v>805</v>
      </c>
      <c r="I119" t="s">
        <v>806</v>
      </c>
      <c r="K119" t="s">
        <v>807</v>
      </c>
      <c r="M119" t="s">
        <v>808</v>
      </c>
      <c r="O119" t="s">
        <v>807</v>
      </c>
      <c r="Q119" t="s">
        <v>804</v>
      </c>
      <c r="S119" t="s">
        <v>809</v>
      </c>
      <c r="U119" t="s">
        <v>808</v>
      </c>
      <c r="W119" t="s">
        <v>810</v>
      </c>
      <c r="Y119" t="s">
        <v>811</v>
      </c>
      <c r="AA119" t="s">
        <v>812</v>
      </c>
      <c r="AC119" t="s">
        <v>813</v>
      </c>
    </row>
    <row r="120" ht="38.25">
      <c r="H120" s="1329" t="s">
        <v>814</v>
      </c>
    </row>
    <row r="121" ht="38.25">
      <c r="H121" s="1329" t="s">
        <v>815</v>
      </c>
    </row>
  </sheetData>
  <sheetProtection selectLockedCells="1" selectUnlockedCells="1"/>
  <mergeCells count="31">
    <mergeCell ref="A2:D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C10:C13"/>
    <mergeCell ref="C15:C16"/>
    <mergeCell ref="C17:C23"/>
    <mergeCell ref="A37:A73"/>
    <mergeCell ref="C61:C67"/>
    <mergeCell ref="C68:C71"/>
    <mergeCell ref="C73:C76"/>
    <mergeCell ref="A74:A78"/>
    <mergeCell ref="A79:A104"/>
    <mergeCell ref="C79:C82"/>
    <mergeCell ref="C83:C86"/>
    <mergeCell ref="A105:A113"/>
    <mergeCell ref="C106:C108"/>
    <mergeCell ref="AF106:AF108"/>
    <mergeCell ref="C109:C113"/>
    <mergeCell ref="AF109:AF113"/>
    <mergeCell ref="A114:A116"/>
    <mergeCell ref="C114:C116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3:S79"/>
  <sheetViews>
    <sheetView zoomScale="115" zoomScaleNormal="115" workbookViewId="0" topLeftCell="A4">
      <selection activeCell="R9" sqref="R9"/>
    </sheetView>
  </sheetViews>
  <sheetFormatPr defaultColWidth="9.140625" defaultRowHeight="12.75"/>
  <cols>
    <col min="1" max="1" width="44.421875" style="0" customWidth="1"/>
    <col min="2" max="2" width="27.00390625" style="0" customWidth="1"/>
    <col min="3" max="3" width="19.140625" style="0" customWidth="1"/>
    <col min="4" max="4" width="11.00390625" style="0" hidden="1" customWidth="1"/>
    <col min="5" max="5" width="16.8515625" style="0" hidden="1" customWidth="1"/>
    <col min="6" max="6" width="11.57421875" style="0" hidden="1" customWidth="1"/>
    <col min="7" max="7" width="14.57421875" style="0" hidden="1" customWidth="1"/>
    <col min="8" max="8" width="11.57421875" style="0" hidden="1" customWidth="1"/>
    <col min="9" max="9" width="14.00390625" style="0" hidden="1" customWidth="1"/>
    <col min="10" max="13" width="11.57421875" style="0" hidden="1" customWidth="1"/>
    <col min="14" max="14" width="13.8515625" style="0" hidden="1" customWidth="1"/>
    <col min="15" max="15" width="22.00390625" style="0" customWidth="1"/>
    <col min="16" max="16" width="15.421875" style="0" customWidth="1"/>
    <col min="17" max="16384" width="11.00390625" style="0" customWidth="1"/>
  </cols>
  <sheetData>
    <row r="2" ht="13.5"/>
    <row r="3" spans="1:14" ht="29.25" customHeight="1">
      <c r="A3" s="965" t="s">
        <v>1071</v>
      </c>
      <c r="B3" s="965"/>
      <c r="C3" s="1598">
        <v>2021</v>
      </c>
      <c r="D3" s="1599" t="s">
        <v>6</v>
      </c>
      <c r="E3" s="1599"/>
      <c r="F3" s="1600" t="s">
        <v>7</v>
      </c>
      <c r="G3" s="1600"/>
      <c r="H3" s="1601" t="s">
        <v>8</v>
      </c>
      <c r="I3" s="1601"/>
      <c r="J3" s="605"/>
      <c r="K3" s="605"/>
      <c r="L3" s="605"/>
      <c r="M3" s="605"/>
      <c r="N3" s="605"/>
    </row>
    <row r="4" spans="1:19" ht="82.5">
      <c r="A4" s="1602" t="s">
        <v>494</v>
      </c>
      <c r="B4" s="1603" t="s">
        <v>495</v>
      </c>
      <c r="C4" s="1604" t="s">
        <v>1072</v>
      </c>
      <c r="D4" s="1605" t="s">
        <v>497</v>
      </c>
      <c r="E4" s="1606" t="s">
        <v>1073</v>
      </c>
      <c r="F4" s="1605" t="s">
        <v>497</v>
      </c>
      <c r="G4" s="1606" t="s">
        <v>505</v>
      </c>
      <c r="H4" s="1605" t="s">
        <v>497</v>
      </c>
      <c r="I4" s="1606" t="s">
        <v>506</v>
      </c>
      <c r="J4" s="1607" t="s">
        <v>1074</v>
      </c>
      <c r="K4" s="1608" t="s">
        <v>1075</v>
      </c>
      <c r="L4" s="1608" t="s">
        <v>513</v>
      </c>
      <c r="M4" s="1609" t="s">
        <v>624</v>
      </c>
      <c r="N4" s="1610" t="s">
        <v>515</v>
      </c>
      <c r="O4" s="1611" t="s">
        <v>516</v>
      </c>
      <c r="P4" s="1612" t="s">
        <v>517</v>
      </c>
      <c r="Q4" s="1613" t="s">
        <v>1076</v>
      </c>
      <c r="R4" s="1613" t="s">
        <v>1077</v>
      </c>
      <c r="S4" s="1614" t="s">
        <v>1078</v>
      </c>
    </row>
    <row r="5" spans="1:19" ht="21.75" customHeight="1">
      <c r="A5" s="1615" t="s">
        <v>1079</v>
      </c>
      <c r="B5" s="1616" t="s">
        <v>1080</v>
      </c>
      <c r="C5" s="1617">
        <v>12</v>
      </c>
      <c r="D5" s="1618">
        <v>1</v>
      </c>
      <c r="E5" s="1619">
        <f>D5*C5</f>
        <v>12</v>
      </c>
      <c r="F5" s="1618"/>
      <c r="G5" s="1619">
        <f>F5*C5</f>
        <v>0</v>
      </c>
      <c r="H5" s="1618"/>
      <c r="I5" s="1066">
        <f>H5*C5</f>
        <v>0</v>
      </c>
      <c r="J5" s="1068">
        <f>'Commande Souvenirs, librairie'!E150</f>
        <v>7.6208</v>
      </c>
      <c r="K5" s="815">
        <f>(J5*5.5)/100+J5</f>
        <v>8.039944</v>
      </c>
      <c r="L5" s="1620">
        <v>0.055</v>
      </c>
      <c r="M5" s="743">
        <f>C5-J5</f>
        <v>4.3792</v>
      </c>
      <c r="N5" s="744">
        <f>M5*P5</f>
        <v>4.3792</v>
      </c>
      <c r="O5" s="816">
        <f aca="true" t="shared" si="0" ref="O5:O70">I5+G5+E5</f>
        <v>12</v>
      </c>
      <c r="P5" s="817">
        <f aca="true" t="shared" si="1" ref="P5:P22">H5+F5+D5</f>
        <v>1</v>
      </c>
      <c r="Q5" s="1621">
        <v>5</v>
      </c>
      <c r="R5" s="1621">
        <v>5</v>
      </c>
      <c r="S5" s="1622">
        <f aca="true" t="shared" si="2" ref="S5:S70">(Q5+R5)-P5</f>
        <v>9</v>
      </c>
    </row>
    <row r="6" spans="1:19" ht="21.75">
      <c r="A6" s="1615"/>
      <c r="B6" s="1028" t="s">
        <v>571</v>
      </c>
      <c r="C6" s="1623">
        <v>9</v>
      </c>
      <c r="D6" s="1299"/>
      <c r="E6" s="1624"/>
      <c r="F6" s="1299"/>
      <c r="G6" s="1624"/>
      <c r="H6" s="1299"/>
      <c r="I6" s="750"/>
      <c r="J6" s="844"/>
      <c r="K6" s="845"/>
      <c r="L6" s="1625"/>
      <c r="M6" s="751"/>
      <c r="N6" s="752"/>
      <c r="O6" s="816">
        <f t="shared" si="0"/>
        <v>0</v>
      </c>
      <c r="P6" s="817">
        <f t="shared" si="1"/>
        <v>0</v>
      </c>
      <c r="Q6" s="1626">
        <v>10</v>
      </c>
      <c r="R6" s="1626"/>
      <c r="S6" s="1622">
        <f t="shared" si="2"/>
        <v>10</v>
      </c>
    </row>
    <row r="7" spans="1:19" ht="21.75">
      <c r="A7" s="1615"/>
      <c r="B7" s="998" t="s">
        <v>1081</v>
      </c>
      <c r="C7" s="1627">
        <v>3</v>
      </c>
      <c r="D7" s="525"/>
      <c r="E7" s="1628">
        <f aca="true" t="shared" si="3" ref="E7:E22">D7*C7</f>
        <v>0</v>
      </c>
      <c r="F7" s="525"/>
      <c r="G7" s="1628">
        <f aca="true" t="shared" si="4" ref="G7:G70">F7*C7</f>
        <v>0</v>
      </c>
      <c r="H7" s="525"/>
      <c r="I7" s="654">
        <f aca="true" t="shared" si="5" ref="I7:I70">H7*C7</f>
        <v>0</v>
      </c>
      <c r="J7" s="660"/>
      <c r="K7" s="661"/>
      <c r="L7" s="1629"/>
      <c r="M7" s="662"/>
      <c r="N7" s="663"/>
      <c r="O7" s="664">
        <f t="shared" si="0"/>
        <v>0</v>
      </c>
      <c r="P7" s="665">
        <f t="shared" si="1"/>
        <v>0</v>
      </c>
      <c r="Q7" s="1630">
        <v>20</v>
      </c>
      <c r="R7" s="1626"/>
      <c r="S7" s="1622">
        <f t="shared" si="2"/>
        <v>20</v>
      </c>
    </row>
    <row r="8" spans="1:19" ht="21.75">
      <c r="A8" s="1615"/>
      <c r="B8" s="998" t="s">
        <v>1082</v>
      </c>
      <c r="C8" s="1627">
        <v>30</v>
      </c>
      <c r="D8" s="525"/>
      <c r="E8" s="1628">
        <f t="shared" si="3"/>
        <v>0</v>
      </c>
      <c r="F8" s="525"/>
      <c r="G8" s="1628">
        <f t="shared" si="4"/>
        <v>0</v>
      </c>
      <c r="H8" s="525"/>
      <c r="I8" s="654">
        <f t="shared" si="5"/>
        <v>0</v>
      </c>
      <c r="J8" s="660"/>
      <c r="K8" s="661"/>
      <c r="L8" s="1629"/>
      <c r="M8" s="662"/>
      <c r="N8" s="663"/>
      <c r="O8" s="664">
        <f t="shared" si="0"/>
        <v>0</v>
      </c>
      <c r="P8" s="665">
        <f t="shared" si="1"/>
        <v>0</v>
      </c>
      <c r="Q8" s="1630">
        <v>3</v>
      </c>
      <c r="R8" s="1626">
        <v>1</v>
      </c>
      <c r="S8" s="1622">
        <f t="shared" si="2"/>
        <v>4</v>
      </c>
    </row>
    <row r="9" spans="1:19" ht="21.75">
      <c r="A9" s="1615"/>
      <c r="B9" s="998" t="s">
        <v>1083</v>
      </c>
      <c r="C9" s="1631">
        <v>21</v>
      </c>
      <c r="D9" s="525"/>
      <c r="E9" s="1628">
        <f t="shared" si="3"/>
        <v>0</v>
      </c>
      <c r="F9" s="525"/>
      <c r="G9" s="1628">
        <f t="shared" si="4"/>
        <v>0</v>
      </c>
      <c r="H9" s="525"/>
      <c r="I9" s="654">
        <f t="shared" si="5"/>
        <v>0</v>
      </c>
      <c r="J9" s="660" t="e">
        <f>'Commande Souvenirs, librairie'!#REF!</f>
        <v>#REF!</v>
      </c>
      <c r="K9" s="661"/>
      <c r="L9" s="855">
        <v>0.055</v>
      </c>
      <c r="M9" s="662" t="e">
        <f>C9-J9</f>
        <v>#REF!</v>
      </c>
      <c r="N9" s="663" t="e">
        <f>M9*P9</f>
        <v>#REF!</v>
      </c>
      <c r="O9" s="664">
        <f t="shared" si="0"/>
        <v>0</v>
      </c>
      <c r="P9" s="665">
        <f t="shared" si="1"/>
        <v>0</v>
      </c>
      <c r="Q9" s="1630">
        <v>5</v>
      </c>
      <c r="R9" s="1626"/>
      <c r="S9" s="1622">
        <f t="shared" si="2"/>
        <v>5</v>
      </c>
    </row>
    <row r="10" spans="1:19" ht="21.75">
      <c r="A10" s="1615"/>
      <c r="B10" s="998" t="s">
        <v>1084</v>
      </c>
      <c r="C10" s="1631">
        <v>40</v>
      </c>
      <c r="D10" s="525"/>
      <c r="E10" s="1628">
        <f t="shared" si="3"/>
        <v>0</v>
      </c>
      <c r="F10" s="525"/>
      <c r="G10" s="1628">
        <f t="shared" si="4"/>
        <v>0</v>
      </c>
      <c r="H10" s="525"/>
      <c r="I10" s="654">
        <f t="shared" si="5"/>
        <v>0</v>
      </c>
      <c r="J10" s="660"/>
      <c r="K10" s="661"/>
      <c r="L10" s="855"/>
      <c r="M10" s="662"/>
      <c r="N10" s="663"/>
      <c r="O10" s="664">
        <f t="shared" si="0"/>
        <v>0</v>
      </c>
      <c r="P10" s="665">
        <f t="shared" si="1"/>
        <v>0</v>
      </c>
      <c r="Q10" s="1630">
        <v>2</v>
      </c>
      <c r="R10" s="1626"/>
      <c r="S10" s="1622">
        <f t="shared" si="2"/>
        <v>2</v>
      </c>
    </row>
    <row r="11" spans="1:19" ht="21.75">
      <c r="A11" s="1615"/>
      <c r="B11" s="998" t="s">
        <v>387</v>
      </c>
      <c r="C11" s="1631">
        <v>18</v>
      </c>
      <c r="D11" s="525"/>
      <c r="E11" s="1628">
        <f t="shared" si="3"/>
        <v>0</v>
      </c>
      <c r="F11" s="525"/>
      <c r="G11" s="1628">
        <f t="shared" si="4"/>
        <v>0</v>
      </c>
      <c r="H11" s="525"/>
      <c r="I11" s="654">
        <f t="shared" si="5"/>
        <v>0</v>
      </c>
      <c r="J11" s="660"/>
      <c r="K11" s="661"/>
      <c r="L11" s="855"/>
      <c r="M11" s="662"/>
      <c r="N11" s="663"/>
      <c r="O11" s="664">
        <f t="shared" si="0"/>
        <v>0</v>
      </c>
      <c r="P11" s="665">
        <f t="shared" si="1"/>
        <v>0</v>
      </c>
      <c r="Q11" s="1630">
        <v>4</v>
      </c>
      <c r="R11" s="1626"/>
      <c r="S11" s="1622">
        <f t="shared" si="2"/>
        <v>4</v>
      </c>
    </row>
    <row r="12" spans="1:19" ht="21.75">
      <c r="A12" s="1615"/>
      <c r="B12" s="998" t="s">
        <v>744</v>
      </c>
      <c r="C12" s="1631">
        <v>15</v>
      </c>
      <c r="D12" s="525"/>
      <c r="E12" s="1628">
        <f t="shared" si="3"/>
        <v>0</v>
      </c>
      <c r="F12" s="525"/>
      <c r="G12" s="1628">
        <f t="shared" si="4"/>
        <v>0</v>
      </c>
      <c r="H12" s="525"/>
      <c r="I12" s="654">
        <f t="shared" si="5"/>
        <v>0</v>
      </c>
      <c r="J12" s="660" t="e">
        <f>'Commande Souvenirs, librairie'!#REF!</f>
        <v>#REF!</v>
      </c>
      <c r="K12" s="661"/>
      <c r="L12" s="855"/>
      <c r="M12" s="662" t="e">
        <f aca="true" t="shared" si="6" ref="M12:M14">C12-J12</f>
        <v>#REF!</v>
      </c>
      <c r="N12" s="663"/>
      <c r="O12" s="664">
        <f t="shared" si="0"/>
        <v>0</v>
      </c>
      <c r="P12" s="665">
        <f t="shared" si="1"/>
        <v>0</v>
      </c>
      <c r="Q12" s="1630">
        <v>4</v>
      </c>
      <c r="R12" s="1626"/>
      <c r="S12" s="1622">
        <f t="shared" si="2"/>
        <v>4</v>
      </c>
    </row>
    <row r="13" spans="1:19" ht="21.75">
      <c r="A13" s="1615"/>
      <c r="B13" s="998" t="s">
        <v>1085</v>
      </c>
      <c r="C13" s="1631">
        <v>38</v>
      </c>
      <c r="D13" s="525"/>
      <c r="E13" s="1628">
        <f t="shared" si="3"/>
        <v>0</v>
      </c>
      <c r="F13" s="525"/>
      <c r="G13" s="1628">
        <f t="shared" si="4"/>
        <v>0</v>
      </c>
      <c r="H13" s="525"/>
      <c r="I13" s="654">
        <f t="shared" si="5"/>
        <v>0</v>
      </c>
      <c r="J13" s="660" t="e">
        <f>'Commande Souvenirs, librairie'!#REF!</f>
        <v>#REF!</v>
      </c>
      <c r="K13" s="661"/>
      <c r="L13" s="855"/>
      <c r="M13" s="662" t="e">
        <f t="shared" si="6"/>
        <v>#REF!</v>
      </c>
      <c r="N13" s="663" t="e">
        <f aca="true" t="shared" si="7" ref="N13:N14">M13*P13</f>
        <v>#REF!</v>
      </c>
      <c r="O13" s="664">
        <f t="shared" si="0"/>
        <v>0</v>
      </c>
      <c r="P13" s="665">
        <f t="shared" si="1"/>
        <v>0</v>
      </c>
      <c r="Q13" s="1630">
        <v>3</v>
      </c>
      <c r="R13" s="1626"/>
      <c r="S13" s="1622">
        <f t="shared" si="2"/>
        <v>3</v>
      </c>
    </row>
    <row r="14" spans="1:19" ht="21.75">
      <c r="A14" s="1615"/>
      <c r="B14" s="998" t="s">
        <v>359</v>
      </c>
      <c r="C14" s="1631">
        <v>5</v>
      </c>
      <c r="D14" s="525"/>
      <c r="E14" s="1628">
        <f t="shared" si="3"/>
        <v>0</v>
      </c>
      <c r="F14" s="525"/>
      <c r="G14" s="1628">
        <f t="shared" si="4"/>
        <v>0</v>
      </c>
      <c r="H14" s="525"/>
      <c r="I14" s="654">
        <f t="shared" si="5"/>
        <v>0</v>
      </c>
      <c r="J14" s="660">
        <f>'Commande Souvenirs, librairie'!E104</f>
        <v>0</v>
      </c>
      <c r="K14" s="661"/>
      <c r="L14" s="855">
        <v>0.055</v>
      </c>
      <c r="M14" s="662">
        <f t="shared" si="6"/>
        <v>5</v>
      </c>
      <c r="N14" s="663">
        <f t="shared" si="7"/>
        <v>0</v>
      </c>
      <c r="O14" s="664">
        <f t="shared" si="0"/>
        <v>0</v>
      </c>
      <c r="P14" s="665">
        <f t="shared" si="1"/>
        <v>0</v>
      </c>
      <c r="Q14" s="1630">
        <v>20</v>
      </c>
      <c r="R14" s="1626"/>
      <c r="S14" s="1622">
        <f t="shared" si="2"/>
        <v>20</v>
      </c>
    </row>
    <row r="15" spans="1:19" ht="21.75">
      <c r="A15" s="1615"/>
      <c r="B15" s="998" t="s">
        <v>736</v>
      </c>
      <c r="C15" s="1631">
        <v>4.99</v>
      </c>
      <c r="D15" s="525"/>
      <c r="E15" s="1628">
        <f t="shared" si="3"/>
        <v>0</v>
      </c>
      <c r="F15" s="525"/>
      <c r="G15" s="1628">
        <f t="shared" si="4"/>
        <v>0</v>
      </c>
      <c r="H15" s="525"/>
      <c r="I15" s="654">
        <f t="shared" si="5"/>
        <v>0</v>
      </c>
      <c r="J15" s="660"/>
      <c r="K15" s="661"/>
      <c r="L15" s="1629"/>
      <c r="M15" s="662"/>
      <c r="N15" s="663"/>
      <c r="O15" s="664">
        <f t="shared" si="0"/>
        <v>0</v>
      </c>
      <c r="P15" s="665">
        <f t="shared" si="1"/>
        <v>0</v>
      </c>
      <c r="Q15" s="1630">
        <v>10</v>
      </c>
      <c r="R15" s="1626"/>
      <c r="S15" s="1622">
        <f t="shared" si="2"/>
        <v>10</v>
      </c>
    </row>
    <row r="16" spans="1:19" ht="21.75">
      <c r="A16" s="1615"/>
      <c r="B16" s="998" t="s">
        <v>603</v>
      </c>
      <c r="C16" s="1627">
        <v>20</v>
      </c>
      <c r="D16" s="525"/>
      <c r="E16" s="1628">
        <f t="shared" si="3"/>
        <v>0</v>
      </c>
      <c r="F16" s="525"/>
      <c r="G16" s="1628">
        <f t="shared" si="4"/>
        <v>0</v>
      </c>
      <c r="H16" s="525"/>
      <c r="I16" s="654">
        <f t="shared" si="5"/>
        <v>0</v>
      </c>
      <c r="J16" s="660"/>
      <c r="K16" s="661"/>
      <c r="L16" s="1629"/>
      <c r="M16" s="662"/>
      <c r="N16" s="663"/>
      <c r="O16" s="664">
        <f t="shared" si="0"/>
        <v>0</v>
      </c>
      <c r="P16" s="665">
        <f t="shared" si="1"/>
        <v>0</v>
      </c>
      <c r="Q16" s="1630">
        <v>4</v>
      </c>
      <c r="R16" s="1626"/>
      <c r="S16" s="1622">
        <f t="shared" si="2"/>
        <v>4</v>
      </c>
    </row>
    <row r="17" spans="1:19" ht="21.75">
      <c r="A17" s="1615"/>
      <c r="B17" s="1028" t="s">
        <v>372</v>
      </c>
      <c r="C17" s="1623">
        <v>5.9</v>
      </c>
      <c r="D17" s="1299">
        <v>1</v>
      </c>
      <c r="E17" s="1632">
        <f t="shared" si="3"/>
        <v>5.9</v>
      </c>
      <c r="F17" s="1299"/>
      <c r="G17" s="1632">
        <f t="shared" si="4"/>
        <v>0</v>
      </c>
      <c r="H17" s="1299"/>
      <c r="I17" s="928">
        <f t="shared" si="5"/>
        <v>0</v>
      </c>
      <c r="J17" s="844"/>
      <c r="K17" s="845"/>
      <c r="L17" s="1625"/>
      <c r="M17" s="751"/>
      <c r="N17" s="752"/>
      <c r="O17" s="1475">
        <f t="shared" si="0"/>
        <v>5.9</v>
      </c>
      <c r="P17" s="1476">
        <f t="shared" si="1"/>
        <v>1</v>
      </c>
      <c r="Q17" s="1630">
        <v>8</v>
      </c>
      <c r="R17" s="1626"/>
      <c r="S17" s="1622">
        <f t="shared" si="2"/>
        <v>7</v>
      </c>
    </row>
    <row r="18" spans="1:19" ht="21.75">
      <c r="A18" s="1633" t="s">
        <v>1086</v>
      </c>
      <c r="B18" s="1634" t="s">
        <v>172</v>
      </c>
      <c r="C18" s="1635">
        <v>2.5</v>
      </c>
      <c r="D18" s="1223"/>
      <c r="E18" s="1636">
        <f t="shared" si="3"/>
        <v>0</v>
      </c>
      <c r="F18" s="1223"/>
      <c r="G18" s="1636">
        <f t="shared" si="4"/>
        <v>0</v>
      </c>
      <c r="H18" s="1223"/>
      <c r="I18" s="1201">
        <f t="shared" si="5"/>
        <v>0</v>
      </c>
      <c r="J18" s="1204">
        <f>'Commande Souvenirs, librairie'!E50</f>
        <v>1</v>
      </c>
      <c r="K18" s="901">
        <f>(J18*20)/100+J18</f>
        <v>1.2</v>
      </c>
      <c r="L18" s="1637">
        <v>0.2</v>
      </c>
      <c r="M18" s="1206">
        <f>C18-J18</f>
        <v>1.5</v>
      </c>
      <c r="N18" s="1355">
        <f>M18*P18</f>
        <v>0</v>
      </c>
      <c r="O18" s="1356">
        <f t="shared" si="0"/>
        <v>0</v>
      </c>
      <c r="P18" s="804">
        <f t="shared" si="1"/>
        <v>0</v>
      </c>
      <c r="Q18" s="1630">
        <v>25</v>
      </c>
      <c r="R18" s="1626"/>
      <c r="S18" s="1622">
        <f t="shared" si="2"/>
        <v>25</v>
      </c>
    </row>
    <row r="19" spans="1:19" ht="21.75">
      <c r="A19" s="1633"/>
      <c r="B19" s="998" t="s">
        <v>1087</v>
      </c>
      <c r="C19" s="1627">
        <v>4.9</v>
      </c>
      <c r="D19" s="525">
        <v>1</v>
      </c>
      <c r="E19" s="1628">
        <f t="shared" si="3"/>
        <v>4.9</v>
      </c>
      <c r="F19" s="525"/>
      <c r="G19" s="1628">
        <f t="shared" si="4"/>
        <v>0</v>
      </c>
      <c r="H19" s="525"/>
      <c r="I19" s="654">
        <f t="shared" si="5"/>
        <v>0</v>
      </c>
      <c r="J19" s="660">
        <f>'Commande Souvenirs, librairie'!E47</f>
        <v>2.85</v>
      </c>
      <c r="K19" s="661"/>
      <c r="L19" s="1637"/>
      <c r="M19" s="662"/>
      <c r="N19" s="663"/>
      <c r="O19" s="664">
        <f t="shared" si="0"/>
        <v>4.9</v>
      </c>
      <c r="P19" s="665">
        <f t="shared" si="1"/>
        <v>1</v>
      </c>
      <c r="Q19" s="1630">
        <v>7</v>
      </c>
      <c r="R19" s="1626"/>
      <c r="S19" s="1622">
        <f t="shared" si="2"/>
        <v>6</v>
      </c>
    </row>
    <row r="20" spans="1:19" ht="21.75">
      <c r="A20" s="1633"/>
      <c r="B20" s="998" t="s">
        <v>1088</v>
      </c>
      <c r="C20" s="1627">
        <v>1.5</v>
      </c>
      <c r="D20" s="525"/>
      <c r="E20" s="1628">
        <f t="shared" si="3"/>
        <v>0</v>
      </c>
      <c r="F20" s="525"/>
      <c r="G20" s="1628">
        <f t="shared" si="4"/>
        <v>0</v>
      </c>
      <c r="H20" s="525"/>
      <c r="I20" s="654">
        <f t="shared" si="5"/>
        <v>0</v>
      </c>
      <c r="J20" s="660" t="e">
        <f>'Commande Souvenirs, librairie'!#REF!</f>
        <v>#REF!</v>
      </c>
      <c r="K20" s="661"/>
      <c r="L20" s="1637"/>
      <c r="M20" s="662" t="e">
        <f>C20-J20</f>
        <v>#REF!</v>
      </c>
      <c r="N20" s="663" t="e">
        <f>M20*P20</f>
        <v>#REF!</v>
      </c>
      <c r="O20" s="664">
        <f t="shared" si="0"/>
        <v>0</v>
      </c>
      <c r="P20" s="665">
        <f t="shared" si="1"/>
        <v>0</v>
      </c>
      <c r="Q20" s="1630">
        <v>20</v>
      </c>
      <c r="R20" s="1626"/>
      <c r="S20" s="1622">
        <f t="shared" si="2"/>
        <v>20</v>
      </c>
    </row>
    <row r="21" spans="1:19" ht="21.75">
      <c r="A21" s="1633"/>
      <c r="B21" s="998" t="s">
        <v>244</v>
      </c>
      <c r="C21" s="1627">
        <v>3</v>
      </c>
      <c r="D21" s="525">
        <v>3</v>
      </c>
      <c r="E21" s="1628">
        <f t="shared" si="3"/>
        <v>9</v>
      </c>
      <c r="F21" s="525"/>
      <c r="G21" s="1628">
        <f t="shared" si="4"/>
        <v>0</v>
      </c>
      <c r="H21" s="525"/>
      <c r="I21" s="654">
        <f t="shared" si="5"/>
        <v>0</v>
      </c>
      <c r="J21" s="660">
        <f>'Commande Souvenirs, librairie'!E44</f>
        <v>1.25</v>
      </c>
      <c r="K21" s="661"/>
      <c r="L21" s="1637"/>
      <c r="M21" s="662"/>
      <c r="N21" s="663"/>
      <c r="O21" s="664">
        <f t="shared" si="0"/>
        <v>9</v>
      </c>
      <c r="P21" s="665">
        <f t="shared" si="1"/>
        <v>3</v>
      </c>
      <c r="Q21" s="1630">
        <v>10</v>
      </c>
      <c r="R21" s="1626"/>
      <c r="S21" s="1622">
        <f t="shared" si="2"/>
        <v>7</v>
      </c>
    </row>
    <row r="22" spans="1:19" ht="21.75">
      <c r="A22" s="1633"/>
      <c r="B22" s="998" t="s">
        <v>1089</v>
      </c>
      <c r="C22" s="1627">
        <v>4</v>
      </c>
      <c r="D22" s="525"/>
      <c r="E22" s="1628">
        <f t="shared" si="3"/>
        <v>0</v>
      </c>
      <c r="F22" s="525"/>
      <c r="G22" s="1628">
        <f t="shared" si="4"/>
        <v>0</v>
      </c>
      <c r="H22" s="525"/>
      <c r="I22" s="654">
        <f t="shared" si="5"/>
        <v>0</v>
      </c>
      <c r="J22" s="660">
        <f>'Commande Souvenirs, librairie'!E49</f>
        <v>1.5</v>
      </c>
      <c r="K22" s="661"/>
      <c r="L22" s="1637"/>
      <c r="M22" s="662">
        <f aca="true" t="shared" si="8" ref="M22:M43">C22-J22</f>
        <v>2.5</v>
      </c>
      <c r="N22" s="663">
        <f aca="true" t="shared" si="9" ref="N22:N42">M22*P22</f>
        <v>0</v>
      </c>
      <c r="O22" s="664">
        <f t="shared" si="0"/>
        <v>0</v>
      </c>
      <c r="P22" s="665">
        <f t="shared" si="1"/>
        <v>0</v>
      </c>
      <c r="Q22" s="1630">
        <v>20</v>
      </c>
      <c r="R22" s="1626"/>
      <c r="S22" s="1622">
        <f t="shared" si="2"/>
        <v>20</v>
      </c>
    </row>
    <row r="23" spans="1:19" ht="21.75">
      <c r="A23" s="1633"/>
      <c r="B23" s="1638" t="s">
        <v>222</v>
      </c>
      <c r="C23" s="1639">
        <v>5.2</v>
      </c>
      <c r="D23" s="1317"/>
      <c r="E23" s="1640">
        <f>SUM(D23*C23)</f>
        <v>0</v>
      </c>
      <c r="F23" s="1317"/>
      <c r="G23" s="1640">
        <f t="shared" si="4"/>
        <v>0</v>
      </c>
      <c r="H23" s="1317"/>
      <c r="I23" s="907">
        <f t="shared" si="5"/>
        <v>0</v>
      </c>
      <c r="J23" s="913">
        <f>'Commande Souvenirs, librairie'!E43</f>
        <v>2.45</v>
      </c>
      <c r="K23" s="1078"/>
      <c r="L23" s="1637"/>
      <c r="M23" s="1080">
        <f t="shared" si="8"/>
        <v>2.75</v>
      </c>
      <c r="N23" s="902">
        <f t="shared" si="9"/>
        <v>0</v>
      </c>
      <c r="O23" s="914">
        <f t="shared" si="0"/>
        <v>0</v>
      </c>
      <c r="P23" s="915">
        <f>D23+F23+H23</f>
        <v>0</v>
      </c>
      <c r="Q23" s="1630">
        <v>8</v>
      </c>
      <c r="R23" s="1626"/>
      <c r="S23" s="1622">
        <f t="shared" si="2"/>
        <v>8</v>
      </c>
    </row>
    <row r="24" spans="1:19" ht="21.75" customHeight="1">
      <c r="A24" s="1641" t="s">
        <v>1090</v>
      </c>
      <c r="B24" s="1161" t="s">
        <v>432</v>
      </c>
      <c r="C24" s="1627">
        <v>1</v>
      </c>
      <c r="D24" s="525"/>
      <c r="E24" s="1628">
        <f aca="true" t="shared" si="10" ref="E24:E70">D24*C24</f>
        <v>0</v>
      </c>
      <c r="F24" s="525"/>
      <c r="G24" s="1628">
        <f t="shared" si="4"/>
        <v>0</v>
      </c>
      <c r="H24" s="525"/>
      <c r="I24" s="654">
        <f t="shared" si="5"/>
        <v>0</v>
      </c>
      <c r="J24" s="660">
        <f>'Commande Souvenirs, librairie'!E204</f>
        <v>0.11</v>
      </c>
      <c r="K24" s="661"/>
      <c r="L24" s="1642"/>
      <c r="M24" s="662">
        <f t="shared" si="8"/>
        <v>0.89</v>
      </c>
      <c r="N24" s="663">
        <f t="shared" si="9"/>
        <v>0</v>
      </c>
      <c r="O24" s="664">
        <f t="shared" si="0"/>
        <v>0</v>
      </c>
      <c r="P24" s="665">
        <f aca="true" t="shared" si="11" ref="P24:P70">H24+F24+D24</f>
        <v>0</v>
      </c>
      <c r="Q24" s="1630">
        <v>20</v>
      </c>
      <c r="R24" s="1626"/>
      <c r="S24" s="1622">
        <f t="shared" si="2"/>
        <v>20</v>
      </c>
    </row>
    <row r="25" spans="1:19" ht="21.75">
      <c r="A25" s="1641"/>
      <c r="B25" s="1161" t="s">
        <v>1091</v>
      </c>
      <c r="C25" s="1627">
        <v>1</v>
      </c>
      <c r="D25" s="525"/>
      <c r="E25" s="1628">
        <f t="shared" si="10"/>
        <v>0</v>
      </c>
      <c r="F25" s="525"/>
      <c r="G25" s="1628">
        <f t="shared" si="4"/>
        <v>0</v>
      </c>
      <c r="H25" s="525"/>
      <c r="I25" s="654">
        <f t="shared" si="5"/>
        <v>0</v>
      </c>
      <c r="J25" s="660">
        <f>'Commande Souvenirs, librairie'!E205</f>
        <v>0.11</v>
      </c>
      <c r="K25" s="661"/>
      <c r="L25" s="1642"/>
      <c r="M25" s="662">
        <f t="shared" si="8"/>
        <v>0.89</v>
      </c>
      <c r="N25" s="663">
        <f t="shared" si="9"/>
        <v>0</v>
      </c>
      <c r="O25" s="664">
        <f t="shared" si="0"/>
        <v>0</v>
      </c>
      <c r="P25" s="665">
        <f t="shared" si="11"/>
        <v>0</v>
      </c>
      <c r="Q25" s="1630">
        <v>20</v>
      </c>
      <c r="R25" s="1626"/>
      <c r="S25" s="1622">
        <f t="shared" si="2"/>
        <v>20</v>
      </c>
    </row>
    <row r="26" spans="1:19" ht="21.75">
      <c r="A26" s="1641"/>
      <c r="B26" s="1161" t="s">
        <v>442</v>
      </c>
      <c r="C26" s="1627">
        <v>1</v>
      </c>
      <c r="D26" s="525"/>
      <c r="E26" s="1628">
        <f t="shared" si="10"/>
        <v>0</v>
      </c>
      <c r="F26" s="525"/>
      <c r="G26" s="1628">
        <f t="shared" si="4"/>
        <v>0</v>
      </c>
      <c r="H26" s="525"/>
      <c r="I26" s="654">
        <f t="shared" si="5"/>
        <v>0</v>
      </c>
      <c r="J26" s="660" t="e">
        <f>'Commande Souvenirs, librairie'!#REF!</f>
        <v>#REF!</v>
      </c>
      <c r="K26" s="661"/>
      <c r="L26" s="1642"/>
      <c r="M26" s="662" t="e">
        <f t="shared" si="8"/>
        <v>#REF!</v>
      </c>
      <c r="N26" s="663" t="e">
        <f t="shared" si="9"/>
        <v>#REF!</v>
      </c>
      <c r="O26" s="664">
        <f t="shared" si="0"/>
        <v>0</v>
      </c>
      <c r="P26" s="665">
        <f t="shared" si="11"/>
        <v>0</v>
      </c>
      <c r="Q26" s="1630">
        <v>35</v>
      </c>
      <c r="R26" s="1626"/>
      <c r="S26" s="1622">
        <f t="shared" si="2"/>
        <v>35</v>
      </c>
    </row>
    <row r="27" spans="1:19" ht="21.75">
      <c r="A27" s="1641"/>
      <c r="B27" s="1161" t="s">
        <v>434</v>
      </c>
      <c r="C27" s="1627">
        <v>1</v>
      </c>
      <c r="D27" s="525"/>
      <c r="E27" s="1628">
        <f t="shared" si="10"/>
        <v>0</v>
      </c>
      <c r="F27" s="525"/>
      <c r="G27" s="1628">
        <f t="shared" si="4"/>
        <v>0</v>
      </c>
      <c r="H27" s="525"/>
      <c r="I27" s="654">
        <f t="shared" si="5"/>
        <v>0</v>
      </c>
      <c r="J27" s="660">
        <f>'Commande Souvenirs, librairie'!E206</f>
        <v>0.11</v>
      </c>
      <c r="K27" s="661"/>
      <c r="L27" s="1642"/>
      <c r="M27" s="662">
        <f t="shared" si="8"/>
        <v>0.89</v>
      </c>
      <c r="N27" s="663">
        <f t="shared" si="9"/>
        <v>0</v>
      </c>
      <c r="O27" s="664">
        <f t="shared" si="0"/>
        <v>0</v>
      </c>
      <c r="P27" s="665">
        <f t="shared" si="11"/>
        <v>0</v>
      </c>
      <c r="Q27" s="1630">
        <v>20</v>
      </c>
      <c r="R27" s="1626"/>
      <c r="S27" s="1622">
        <f t="shared" si="2"/>
        <v>20</v>
      </c>
    </row>
    <row r="28" spans="1:19" ht="21.75">
      <c r="A28" s="1641"/>
      <c r="B28" s="1161" t="s">
        <v>153</v>
      </c>
      <c r="C28" s="1627">
        <v>1</v>
      </c>
      <c r="D28" s="525"/>
      <c r="E28" s="1628">
        <f t="shared" si="10"/>
        <v>0</v>
      </c>
      <c r="F28" s="525"/>
      <c r="G28" s="1628">
        <f t="shared" si="4"/>
        <v>0</v>
      </c>
      <c r="H28" s="525"/>
      <c r="I28" s="654">
        <f t="shared" si="5"/>
        <v>0</v>
      </c>
      <c r="J28" s="660">
        <f>'Commande Souvenirs, librairie'!E207</f>
        <v>0.11</v>
      </c>
      <c r="K28" s="661"/>
      <c r="L28" s="1642"/>
      <c r="M28" s="662">
        <f t="shared" si="8"/>
        <v>0.89</v>
      </c>
      <c r="N28" s="663">
        <f t="shared" si="9"/>
        <v>0</v>
      </c>
      <c r="O28" s="664">
        <f t="shared" si="0"/>
        <v>0</v>
      </c>
      <c r="P28" s="665">
        <f t="shared" si="11"/>
        <v>0</v>
      </c>
      <c r="Q28" s="1630">
        <v>20</v>
      </c>
      <c r="R28" s="1626"/>
      <c r="S28" s="1622">
        <f t="shared" si="2"/>
        <v>20</v>
      </c>
    </row>
    <row r="29" spans="1:19" ht="21.75">
      <c r="A29" s="1641"/>
      <c r="B29" s="1161" t="s">
        <v>435</v>
      </c>
      <c r="C29" s="1627">
        <v>1</v>
      </c>
      <c r="D29" s="525"/>
      <c r="E29" s="1628">
        <f t="shared" si="10"/>
        <v>0</v>
      </c>
      <c r="F29" s="525"/>
      <c r="G29" s="1628">
        <f t="shared" si="4"/>
        <v>0</v>
      </c>
      <c r="H29" s="525"/>
      <c r="I29" s="654">
        <f t="shared" si="5"/>
        <v>0</v>
      </c>
      <c r="J29" s="660">
        <f>'Commande Souvenirs, librairie'!J208</f>
        <v>1</v>
      </c>
      <c r="K29" s="661"/>
      <c r="L29" s="1642"/>
      <c r="M29" s="662">
        <f t="shared" si="8"/>
        <v>0</v>
      </c>
      <c r="N29" s="663">
        <f t="shared" si="9"/>
        <v>0</v>
      </c>
      <c r="O29" s="664">
        <f t="shared" si="0"/>
        <v>0</v>
      </c>
      <c r="P29" s="665">
        <f t="shared" si="11"/>
        <v>0</v>
      </c>
      <c r="Q29" s="1630">
        <v>20</v>
      </c>
      <c r="R29" s="1626"/>
      <c r="S29" s="1622">
        <f t="shared" si="2"/>
        <v>20</v>
      </c>
    </row>
    <row r="30" spans="1:19" ht="21.75">
      <c r="A30" s="1641"/>
      <c r="B30" s="1161" t="s">
        <v>436</v>
      </c>
      <c r="C30" s="1627">
        <v>1</v>
      </c>
      <c r="D30" s="525"/>
      <c r="E30" s="1628">
        <f t="shared" si="10"/>
        <v>0</v>
      </c>
      <c r="F30" s="525"/>
      <c r="G30" s="1628">
        <f t="shared" si="4"/>
        <v>0</v>
      </c>
      <c r="H30" s="525"/>
      <c r="I30" s="654">
        <f t="shared" si="5"/>
        <v>0</v>
      </c>
      <c r="J30" s="660">
        <f>'Commande Souvenirs, librairie'!E209</f>
        <v>0.11</v>
      </c>
      <c r="K30" s="661"/>
      <c r="L30" s="1642"/>
      <c r="M30" s="662">
        <f t="shared" si="8"/>
        <v>0.89</v>
      </c>
      <c r="N30" s="663">
        <f t="shared" si="9"/>
        <v>0</v>
      </c>
      <c r="O30" s="664">
        <f t="shared" si="0"/>
        <v>0</v>
      </c>
      <c r="P30" s="665">
        <f t="shared" si="11"/>
        <v>0</v>
      </c>
      <c r="Q30" s="1630">
        <v>35</v>
      </c>
      <c r="R30" s="1626"/>
      <c r="S30" s="1622">
        <f t="shared" si="2"/>
        <v>35</v>
      </c>
    </row>
    <row r="31" spans="1:19" ht="21.75">
      <c r="A31" s="1641"/>
      <c r="B31" s="1161" t="s">
        <v>437</v>
      </c>
      <c r="C31" s="1627">
        <v>1</v>
      </c>
      <c r="D31" s="525"/>
      <c r="E31" s="1628">
        <f t="shared" si="10"/>
        <v>0</v>
      </c>
      <c r="F31" s="525"/>
      <c r="G31" s="1628">
        <f t="shared" si="4"/>
        <v>0</v>
      </c>
      <c r="H31" s="525"/>
      <c r="I31" s="654">
        <f t="shared" si="5"/>
        <v>0</v>
      </c>
      <c r="J31" s="660">
        <f>'Commande Souvenirs, librairie'!E210</f>
        <v>0.11</v>
      </c>
      <c r="K31" s="661"/>
      <c r="L31" s="1642"/>
      <c r="M31" s="662">
        <f t="shared" si="8"/>
        <v>0.89</v>
      </c>
      <c r="N31" s="663">
        <f t="shared" si="9"/>
        <v>0</v>
      </c>
      <c r="O31" s="664">
        <f t="shared" si="0"/>
        <v>0</v>
      </c>
      <c r="P31" s="665">
        <f t="shared" si="11"/>
        <v>0</v>
      </c>
      <c r="Q31" s="1630">
        <v>35</v>
      </c>
      <c r="R31" s="1626"/>
      <c r="S31" s="1622">
        <f t="shared" si="2"/>
        <v>35</v>
      </c>
    </row>
    <row r="32" spans="1:19" ht="21.75">
      <c r="A32" s="1641"/>
      <c r="B32" s="1161" t="s">
        <v>438</v>
      </c>
      <c r="C32" s="1627">
        <v>1</v>
      </c>
      <c r="D32" s="525"/>
      <c r="E32" s="1628">
        <f t="shared" si="10"/>
        <v>0</v>
      </c>
      <c r="F32" s="525"/>
      <c r="G32" s="1628">
        <f t="shared" si="4"/>
        <v>0</v>
      </c>
      <c r="H32" s="525"/>
      <c r="I32" s="654">
        <f t="shared" si="5"/>
        <v>0</v>
      </c>
      <c r="J32" s="660">
        <f>'Commande Souvenirs, librairie'!E211</f>
        <v>0.11</v>
      </c>
      <c r="K32" s="661"/>
      <c r="L32" s="1642"/>
      <c r="M32" s="662">
        <f t="shared" si="8"/>
        <v>0.89</v>
      </c>
      <c r="N32" s="663">
        <f t="shared" si="9"/>
        <v>0</v>
      </c>
      <c r="O32" s="664">
        <f t="shared" si="0"/>
        <v>0</v>
      </c>
      <c r="P32" s="665">
        <f t="shared" si="11"/>
        <v>0</v>
      </c>
      <c r="Q32" s="1630">
        <v>20</v>
      </c>
      <c r="R32" s="1626"/>
      <c r="S32" s="1622">
        <f t="shared" si="2"/>
        <v>20</v>
      </c>
    </row>
    <row r="33" spans="1:19" ht="21.75">
      <c r="A33" s="1641"/>
      <c r="B33" s="1161" t="s">
        <v>439</v>
      </c>
      <c r="C33" s="1627">
        <v>1</v>
      </c>
      <c r="D33" s="525"/>
      <c r="E33" s="1628">
        <f t="shared" si="10"/>
        <v>0</v>
      </c>
      <c r="F33" s="525"/>
      <c r="G33" s="1628">
        <f t="shared" si="4"/>
        <v>0</v>
      </c>
      <c r="H33" s="525"/>
      <c r="I33" s="654">
        <f t="shared" si="5"/>
        <v>0</v>
      </c>
      <c r="J33" s="660">
        <f>'Commande Souvenirs, librairie'!E212</f>
        <v>0.11</v>
      </c>
      <c r="K33" s="661"/>
      <c r="L33" s="1642"/>
      <c r="M33" s="662">
        <f t="shared" si="8"/>
        <v>0.89</v>
      </c>
      <c r="N33" s="663">
        <f t="shared" si="9"/>
        <v>0</v>
      </c>
      <c r="O33" s="664">
        <f t="shared" si="0"/>
        <v>0</v>
      </c>
      <c r="P33" s="665">
        <f t="shared" si="11"/>
        <v>0</v>
      </c>
      <c r="Q33" s="1630">
        <v>20</v>
      </c>
      <c r="R33" s="1626"/>
      <c r="S33" s="1622">
        <f t="shared" si="2"/>
        <v>20</v>
      </c>
    </row>
    <row r="34" spans="1:19" ht="21.75">
      <c r="A34" s="1641"/>
      <c r="B34" s="1159" t="s">
        <v>782</v>
      </c>
      <c r="C34" s="1631">
        <v>1</v>
      </c>
      <c r="D34" s="525"/>
      <c r="E34" s="1628">
        <f t="shared" si="10"/>
        <v>0</v>
      </c>
      <c r="F34" s="525"/>
      <c r="G34" s="1628">
        <f t="shared" si="4"/>
        <v>0</v>
      </c>
      <c r="H34" s="525"/>
      <c r="I34" s="654">
        <f t="shared" si="5"/>
        <v>0</v>
      </c>
      <c r="J34" s="660">
        <f>'Commande Souvenirs, librairie'!E236</f>
        <v>0.13</v>
      </c>
      <c r="K34" s="661"/>
      <c r="L34" s="1642"/>
      <c r="M34" s="662">
        <f t="shared" si="8"/>
        <v>0.87</v>
      </c>
      <c r="N34" s="663">
        <f t="shared" si="9"/>
        <v>0</v>
      </c>
      <c r="O34" s="664">
        <f t="shared" si="0"/>
        <v>0</v>
      </c>
      <c r="P34" s="665">
        <f t="shared" si="11"/>
        <v>0</v>
      </c>
      <c r="Q34" s="1630">
        <v>20</v>
      </c>
      <c r="R34" s="1626"/>
      <c r="S34" s="1622">
        <f t="shared" si="2"/>
        <v>20</v>
      </c>
    </row>
    <row r="35" spans="1:19" ht="21.75">
      <c r="A35" s="1641"/>
      <c r="B35" s="1159" t="s">
        <v>469</v>
      </c>
      <c r="C35" s="1631">
        <v>1</v>
      </c>
      <c r="D35" s="525"/>
      <c r="E35" s="1628">
        <f t="shared" si="10"/>
        <v>0</v>
      </c>
      <c r="F35" s="525"/>
      <c r="G35" s="1628">
        <f t="shared" si="4"/>
        <v>0</v>
      </c>
      <c r="H35" s="525"/>
      <c r="I35" s="654">
        <f t="shared" si="5"/>
        <v>0</v>
      </c>
      <c r="J35" s="660">
        <f>'Commande Souvenirs, librairie'!E237</f>
        <v>0.13</v>
      </c>
      <c r="K35" s="661"/>
      <c r="L35" s="1642"/>
      <c r="M35" s="662">
        <f t="shared" si="8"/>
        <v>0.87</v>
      </c>
      <c r="N35" s="663">
        <f t="shared" si="9"/>
        <v>0</v>
      </c>
      <c r="O35" s="664">
        <f t="shared" si="0"/>
        <v>0</v>
      </c>
      <c r="P35" s="665">
        <f t="shared" si="11"/>
        <v>0</v>
      </c>
      <c r="Q35" s="1630">
        <v>20</v>
      </c>
      <c r="R35" s="1626"/>
      <c r="S35" s="1622">
        <f t="shared" si="2"/>
        <v>20</v>
      </c>
    </row>
    <row r="36" spans="1:19" ht="21.75">
      <c r="A36" s="1641"/>
      <c r="B36" s="1159" t="s">
        <v>1092</v>
      </c>
      <c r="C36" s="1631">
        <v>1</v>
      </c>
      <c r="D36" s="525"/>
      <c r="E36" s="1628">
        <f t="shared" si="10"/>
        <v>0</v>
      </c>
      <c r="F36" s="525"/>
      <c r="G36" s="1628">
        <f t="shared" si="4"/>
        <v>0</v>
      </c>
      <c r="H36" s="525"/>
      <c r="I36" s="654">
        <f t="shared" si="5"/>
        <v>0</v>
      </c>
      <c r="J36" s="660">
        <f>'Commande Souvenirs, librairie'!E238</f>
        <v>0.13</v>
      </c>
      <c r="K36" s="661"/>
      <c r="L36" s="1642"/>
      <c r="M36" s="662">
        <f t="shared" si="8"/>
        <v>0.87</v>
      </c>
      <c r="N36" s="663">
        <f t="shared" si="9"/>
        <v>0</v>
      </c>
      <c r="O36" s="664">
        <f t="shared" si="0"/>
        <v>0</v>
      </c>
      <c r="P36" s="665">
        <f t="shared" si="11"/>
        <v>0</v>
      </c>
      <c r="Q36" s="1630">
        <v>20</v>
      </c>
      <c r="R36" s="1626"/>
      <c r="S36" s="1622">
        <f t="shared" si="2"/>
        <v>20</v>
      </c>
    </row>
    <row r="37" spans="1:19" ht="31.5">
      <c r="A37" s="1641"/>
      <c r="B37" s="1159" t="s">
        <v>472</v>
      </c>
      <c r="C37" s="1631">
        <v>1</v>
      </c>
      <c r="D37" s="525"/>
      <c r="E37" s="1628">
        <f t="shared" si="10"/>
        <v>0</v>
      </c>
      <c r="F37" s="525"/>
      <c r="G37" s="1628">
        <f t="shared" si="4"/>
        <v>0</v>
      </c>
      <c r="H37" s="525"/>
      <c r="I37" s="654">
        <f t="shared" si="5"/>
        <v>0</v>
      </c>
      <c r="J37" s="660">
        <f>'Commande Souvenirs, librairie'!E239</f>
        <v>0.13</v>
      </c>
      <c r="K37" s="661"/>
      <c r="L37" s="1642"/>
      <c r="M37" s="662">
        <f t="shared" si="8"/>
        <v>0.87</v>
      </c>
      <c r="N37" s="663">
        <f t="shared" si="9"/>
        <v>0</v>
      </c>
      <c r="O37" s="664">
        <f t="shared" si="0"/>
        <v>0</v>
      </c>
      <c r="P37" s="665">
        <f t="shared" si="11"/>
        <v>0</v>
      </c>
      <c r="Q37" s="1630">
        <v>20</v>
      </c>
      <c r="R37" s="1626"/>
      <c r="S37" s="1622">
        <f t="shared" si="2"/>
        <v>20</v>
      </c>
    </row>
    <row r="38" spans="1:19" ht="21.75">
      <c r="A38" s="1641"/>
      <c r="B38" s="1159" t="s">
        <v>473</v>
      </c>
      <c r="C38" s="1631">
        <v>1</v>
      </c>
      <c r="D38" s="525"/>
      <c r="E38" s="1628">
        <f t="shared" si="10"/>
        <v>0</v>
      </c>
      <c r="F38" s="525"/>
      <c r="G38" s="1628">
        <f t="shared" si="4"/>
        <v>0</v>
      </c>
      <c r="H38" s="525"/>
      <c r="I38" s="654">
        <f t="shared" si="5"/>
        <v>0</v>
      </c>
      <c r="J38" s="660">
        <f>'Commande Souvenirs, librairie'!E240</f>
        <v>0.13</v>
      </c>
      <c r="K38" s="661"/>
      <c r="L38" s="1642"/>
      <c r="M38" s="662">
        <f t="shared" si="8"/>
        <v>0.87</v>
      </c>
      <c r="N38" s="663">
        <f t="shared" si="9"/>
        <v>0</v>
      </c>
      <c r="O38" s="664">
        <f t="shared" si="0"/>
        <v>0</v>
      </c>
      <c r="P38" s="665">
        <f t="shared" si="11"/>
        <v>0</v>
      </c>
      <c r="Q38" s="1630">
        <v>20</v>
      </c>
      <c r="R38" s="1626"/>
      <c r="S38" s="1622">
        <f t="shared" si="2"/>
        <v>20</v>
      </c>
    </row>
    <row r="39" spans="1:19" ht="21.75">
      <c r="A39" s="1641"/>
      <c r="B39" s="1159" t="s">
        <v>478</v>
      </c>
      <c r="C39" s="1631">
        <v>1</v>
      </c>
      <c r="D39" s="525"/>
      <c r="E39" s="1628">
        <f t="shared" si="10"/>
        <v>0</v>
      </c>
      <c r="F39" s="525"/>
      <c r="G39" s="1628">
        <f t="shared" si="4"/>
        <v>0</v>
      </c>
      <c r="H39" s="525"/>
      <c r="I39" s="654">
        <f t="shared" si="5"/>
        <v>0</v>
      </c>
      <c r="J39" s="660">
        <f>'Commande Souvenirs, librairie'!E244</f>
        <v>0.13</v>
      </c>
      <c r="K39" s="661"/>
      <c r="L39" s="1642"/>
      <c r="M39" s="662">
        <f t="shared" si="8"/>
        <v>0.87</v>
      </c>
      <c r="N39" s="663">
        <f t="shared" si="9"/>
        <v>0</v>
      </c>
      <c r="O39" s="664">
        <f t="shared" si="0"/>
        <v>0</v>
      </c>
      <c r="P39" s="665">
        <f t="shared" si="11"/>
        <v>0</v>
      </c>
      <c r="Q39" s="1630">
        <v>20</v>
      </c>
      <c r="R39" s="1626"/>
      <c r="S39" s="1622">
        <f t="shared" si="2"/>
        <v>20</v>
      </c>
    </row>
    <row r="40" spans="1:19" ht="21.75">
      <c r="A40" s="1641"/>
      <c r="B40" s="1159" t="s">
        <v>474</v>
      </c>
      <c r="C40" s="1631">
        <v>1</v>
      </c>
      <c r="D40" s="525"/>
      <c r="E40" s="1628">
        <f t="shared" si="10"/>
        <v>0</v>
      </c>
      <c r="F40" s="525"/>
      <c r="G40" s="1628">
        <f t="shared" si="4"/>
        <v>0</v>
      </c>
      <c r="H40" s="525"/>
      <c r="I40" s="654">
        <f t="shared" si="5"/>
        <v>0</v>
      </c>
      <c r="J40" s="660">
        <f>'Commande Souvenirs, librairie'!E241</f>
        <v>0.13</v>
      </c>
      <c r="K40" s="661"/>
      <c r="L40" s="1642"/>
      <c r="M40" s="662">
        <f t="shared" si="8"/>
        <v>0.87</v>
      </c>
      <c r="N40" s="663">
        <f t="shared" si="9"/>
        <v>0</v>
      </c>
      <c r="O40" s="664">
        <f t="shared" si="0"/>
        <v>0</v>
      </c>
      <c r="P40" s="665">
        <f t="shared" si="11"/>
        <v>0</v>
      </c>
      <c r="Q40" s="1630">
        <v>20</v>
      </c>
      <c r="R40" s="1626"/>
      <c r="S40" s="1622">
        <f t="shared" si="2"/>
        <v>20</v>
      </c>
    </row>
    <row r="41" spans="1:19" ht="21.75">
      <c r="A41" s="1641"/>
      <c r="B41" s="1159" t="s">
        <v>784</v>
      </c>
      <c r="C41" s="1631">
        <v>1</v>
      </c>
      <c r="D41" s="525"/>
      <c r="E41" s="1628">
        <f t="shared" si="10"/>
        <v>0</v>
      </c>
      <c r="F41" s="525"/>
      <c r="G41" s="1628">
        <f t="shared" si="4"/>
        <v>0</v>
      </c>
      <c r="H41" s="525"/>
      <c r="I41" s="654">
        <f t="shared" si="5"/>
        <v>0</v>
      </c>
      <c r="J41" s="660">
        <f>'Commande Souvenirs, librairie'!E242</f>
        <v>0.13</v>
      </c>
      <c r="K41" s="661"/>
      <c r="L41" s="1642"/>
      <c r="M41" s="662">
        <f t="shared" si="8"/>
        <v>0.87</v>
      </c>
      <c r="N41" s="663">
        <f t="shared" si="9"/>
        <v>0</v>
      </c>
      <c r="O41" s="664">
        <f t="shared" si="0"/>
        <v>0</v>
      </c>
      <c r="P41" s="665">
        <f t="shared" si="11"/>
        <v>0</v>
      </c>
      <c r="Q41" s="1630">
        <v>20</v>
      </c>
      <c r="R41" s="1626"/>
      <c r="S41" s="1622">
        <f t="shared" si="2"/>
        <v>20</v>
      </c>
    </row>
    <row r="42" spans="1:19" ht="21.75">
      <c r="A42" s="1641"/>
      <c r="B42" s="1218" t="s">
        <v>785</v>
      </c>
      <c r="C42" s="1643">
        <v>1</v>
      </c>
      <c r="D42" s="1317"/>
      <c r="E42" s="1640">
        <f t="shared" si="10"/>
        <v>0</v>
      </c>
      <c r="F42" s="1317"/>
      <c r="G42" s="1640">
        <f t="shared" si="4"/>
        <v>0</v>
      </c>
      <c r="H42" s="1317"/>
      <c r="I42" s="907">
        <f t="shared" si="5"/>
        <v>0</v>
      </c>
      <c r="J42" s="913">
        <f>'Commande Souvenirs, librairie'!E243</f>
        <v>0.13</v>
      </c>
      <c r="K42" s="1078"/>
      <c r="L42" s="1642"/>
      <c r="M42" s="1080">
        <f t="shared" si="8"/>
        <v>0.87</v>
      </c>
      <c r="N42" s="902">
        <f t="shared" si="9"/>
        <v>0</v>
      </c>
      <c r="O42" s="914">
        <f t="shared" si="0"/>
        <v>0</v>
      </c>
      <c r="P42" s="915">
        <f t="shared" si="11"/>
        <v>0</v>
      </c>
      <c r="Q42" s="1630">
        <v>20</v>
      </c>
      <c r="R42" s="1626"/>
      <c r="S42" s="1622">
        <f t="shared" si="2"/>
        <v>20</v>
      </c>
    </row>
    <row r="43" spans="1:19" ht="20.25">
      <c r="A43" s="1644" t="s">
        <v>575</v>
      </c>
      <c r="B43" s="1645" t="s">
        <v>1093</v>
      </c>
      <c r="C43" s="1646">
        <v>4.2</v>
      </c>
      <c r="D43" s="1618"/>
      <c r="E43" s="1619">
        <f t="shared" si="10"/>
        <v>0</v>
      </c>
      <c r="F43" s="1618"/>
      <c r="G43" s="1619">
        <f t="shared" si="4"/>
        <v>0</v>
      </c>
      <c r="H43" s="1618"/>
      <c r="I43" s="1066">
        <f t="shared" si="5"/>
        <v>0</v>
      </c>
      <c r="J43" s="1068">
        <f>'Commande Souvenirs, librairie'!E189</f>
        <v>2.88</v>
      </c>
      <c r="K43" s="815"/>
      <c r="L43" s="1647">
        <v>0.1</v>
      </c>
      <c r="M43" s="743">
        <f t="shared" si="8"/>
        <v>1.3200000000000003</v>
      </c>
      <c r="N43" s="744"/>
      <c r="O43" s="816">
        <f t="shared" si="0"/>
        <v>0</v>
      </c>
      <c r="P43" s="915">
        <f t="shared" si="11"/>
        <v>0</v>
      </c>
      <c r="Q43" s="1630">
        <v>22</v>
      </c>
      <c r="R43" s="1626"/>
      <c r="S43" s="1622">
        <f t="shared" si="2"/>
        <v>22</v>
      </c>
    </row>
    <row r="44" spans="1:19" s="1650" customFormat="1" ht="24" customHeight="1">
      <c r="A44" s="1648" t="s">
        <v>111</v>
      </c>
      <c r="B44" s="1065" t="s">
        <v>1094</v>
      </c>
      <c r="C44" s="1646">
        <v>7</v>
      </c>
      <c r="D44" s="1649"/>
      <c r="E44" s="1636">
        <f t="shared" si="10"/>
        <v>0</v>
      </c>
      <c r="F44" s="1649"/>
      <c r="G44" s="1636">
        <f t="shared" si="4"/>
        <v>0</v>
      </c>
      <c r="H44" s="1649"/>
      <c r="I44" s="1201">
        <f t="shared" si="5"/>
        <v>0</v>
      </c>
      <c r="O44" s="816">
        <f t="shared" si="0"/>
        <v>0</v>
      </c>
      <c r="P44" s="915">
        <f t="shared" si="11"/>
        <v>0</v>
      </c>
      <c r="Q44" s="1630">
        <v>3</v>
      </c>
      <c r="R44" s="1626"/>
      <c r="S44" s="1622">
        <f t="shared" si="2"/>
        <v>3</v>
      </c>
    </row>
    <row r="45" spans="1:19" ht="20.25" customHeight="1">
      <c r="A45" s="1648"/>
      <c r="B45" s="68" t="s">
        <v>1095</v>
      </c>
      <c r="C45" s="1631">
        <v>7</v>
      </c>
      <c r="D45" s="525"/>
      <c r="E45" s="1628">
        <f t="shared" si="10"/>
        <v>0</v>
      </c>
      <c r="F45" s="525"/>
      <c r="G45" s="1628">
        <f t="shared" si="4"/>
        <v>0</v>
      </c>
      <c r="H45" s="525"/>
      <c r="I45" s="654">
        <f t="shared" si="5"/>
        <v>0</v>
      </c>
      <c r="J45" s="1068"/>
      <c r="K45" s="815"/>
      <c r="L45" s="1647"/>
      <c r="M45" s="743"/>
      <c r="N45" s="744"/>
      <c r="O45" s="816">
        <f t="shared" si="0"/>
        <v>0</v>
      </c>
      <c r="P45" s="915">
        <f t="shared" si="11"/>
        <v>0</v>
      </c>
      <c r="Q45" s="1630">
        <v>3</v>
      </c>
      <c r="R45" s="1626"/>
      <c r="S45" s="1622">
        <f t="shared" si="2"/>
        <v>3</v>
      </c>
    </row>
    <row r="46" spans="1:19" ht="21" customHeight="1">
      <c r="A46" s="1648"/>
      <c r="B46" s="1651" t="s">
        <v>1096</v>
      </c>
      <c r="C46" s="1631">
        <v>7</v>
      </c>
      <c r="D46" s="525"/>
      <c r="E46" s="1628">
        <f t="shared" si="10"/>
        <v>0</v>
      </c>
      <c r="F46" s="525"/>
      <c r="G46" s="1628">
        <f t="shared" si="4"/>
        <v>0</v>
      </c>
      <c r="H46" s="525"/>
      <c r="I46" s="654">
        <f t="shared" si="5"/>
        <v>0</v>
      </c>
      <c r="J46" s="1068"/>
      <c r="K46" s="815"/>
      <c r="L46" s="1647"/>
      <c r="M46" s="743"/>
      <c r="N46" s="744"/>
      <c r="O46" s="816">
        <f t="shared" si="0"/>
        <v>0</v>
      </c>
      <c r="P46" s="915">
        <f t="shared" si="11"/>
        <v>0</v>
      </c>
      <c r="Q46" s="1630">
        <v>3</v>
      </c>
      <c r="R46" s="1626"/>
      <c r="S46" s="1622">
        <f t="shared" si="2"/>
        <v>3</v>
      </c>
    </row>
    <row r="47" spans="1:19" ht="21" customHeight="1">
      <c r="A47" s="1648"/>
      <c r="B47" s="158" t="s">
        <v>118</v>
      </c>
      <c r="C47" s="1652">
        <v>15</v>
      </c>
      <c r="D47" s="525"/>
      <c r="E47" s="1628">
        <f t="shared" si="10"/>
        <v>0</v>
      </c>
      <c r="F47" s="525"/>
      <c r="G47" s="1628">
        <f t="shared" si="4"/>
        <v>0</v>
      </c>
      <c r="H47" s="525"/>
      <c r="I47" s="654">
        <f t="shared" si="5"/>
        <v>0</v>
      </c>
      <c r="J47" s="1068"/>
      <c r="K47" s="815"/>
      <c r="L47" s="1647"/>
      <c r="M47" s="743"/>
      <c r="N47" s="744"/>
      <c r="O47" s="816">
        <f t="shared" si="0"/>
        <v>0</v>
      </c>
      <c r="P47" s="915">
        <f t="shared" si="11"/>
        <v>0</v>
      </c>
      <c r="Q47" s="1630">
        <v>4</v>
      </c>
      <c r="R47" s="1626"/>
      <c r="S47" s="1622">
        <f t="shared" si="2"/>
        <v>4</v>
      </c>
    </row>
    <row r="48" spans="1:19" ht="21" customHeight="1">
      <c r="A48" s="1653" t="s">
        <v>1097</v>
      </c>
      <c r="B48" s="843" t="s">
        <v>1098</v>
      </c>
      <c r="C48" s="1652">
        <v>6.2</v>
      </c>
      <c r="D48" s="1299"/>
      <c r="E48" s="1624">
        <f t="shared" si="10"/>
        <v>0</v>
      </c>
      <c r="F48" s="1299"/>
      <c r="G48" s="1624">
        <f t="shared" si="4"/>
        <v>0</v>
      </c>
      <c r="H48" s="1299"/>
      <c r="I48" s="750">
        <f t="shared" si="5"/>
        <v>0</v>
      </c>
      <c r="J48" s="1068"/>
      <c r="K48" s="815"/>
      <c r="L48" s="1647"/>
      <c r="M48" s="743"/>
      <c r="N48" s="744"/>
      <c r="O48" s="816">
        <f t="shared" si="0"/>
        <v>0</v>
      </c>
      <c r="P48" s="915">
        <f t="shared" si="11"/>
        <v>0</v>
      </c>
      <c r="Q48" s="1630">
        <v>3</v>
      </c>
      <c r="R48" s="1626"/>
      <c r="S48" s="1622">
        <f t="shared" si="2"/>
        <v>3</v>
      </c>
    </row>
    <row r="49" spans="1:19" ht="21" customHeight="1">
      <c r="A49" s="1653"/>
      <c r="B49" s="843" t="s">
        <v>103</v>
      </c>
      <c r="C49" s="1652">
        <v>6.2</v>
      </c>
      <c r="D49" s="1299"/>
      <c r="E49" s="1624">
        <f t="shared" si="10"/>
        <v>0</v>
      </c>
      <c r="F49" s="1299"/>
      <c r="G49" s="1624">
        <f t="shared" si="4"/>
        <v>0</v>
      </c>
      <c r="H49" s="1299"/>
      <c r="I49" s="750">
        <f t="shared" si="5"/>
        <v>0</v>
      </c>
      <c r="J49" s="1068"/>
      <c r="K49" s="815"/>
      <c r="L49" s="1647"/>
      <c r="M49" s="743"/>
      <c r="N49" s="744"/>
      <c r="O49" s="816">
        <f t="shared" si="0"/>
        <v>0</v>
      </c>
      <c r="P49" s="915">
        <f t="shared" si="11"/>
        <v>0</v>
      </c>
      <c r="Q49" s="1630">
        <v>3</v>
      </c>
      <c r="R49" s="1626"/>
      <c r="S49" s="1622">
        <f t="shared" si="2"/>
        <v>3</v>
      </c>
    </row>
    <row r="50" spans="1:19" ht="21.75">
      <c r="A50" s="1644" t="s">
        <v>1099</v>
      </c>
      <c r="B50" s="1645" t="s">
        <v>1100</v>
      </c>
      <c r="C50" s="1646">
        <v>9.9</v>
      </c>
      <c r="D50" s="1299"/>
      <c r="E50" s="1624">
        <f t="shared" si="10"/>
        <v>0</v>
      </c>
      <c r="F50" s="1299"/>
      <c r="G50" s="1624">
        <f t="shared" si="4"/>
        <v>0</v>
      </c>
      <c r="H50" s="1299"/>
      <c r="I50" s="750">
        <f t="shared" si="5"/>
        <v>0</v>
      </c>
      <c r="J50" s="1068"/>
      <c r="K50" s="815"/>
      <c r="L50" s="1647"/>
      <c r="M50" s="743"/>
      <c r="N50" s="744"/>
      <c r="O50" s="816">
        <f t="shared" si="0"/>
        <v>0</v>
      </c>
      <c r="P50" s="915">
        <f t="shared" si="11"/>
        <v>0</v>
      </c>
      <c r="Q50" s="1630">
        <v>3</v>
      </c>
      <c r="R50" s="1626"/>
      <c r="S50" s="1622">
        <f t="shared" si="2"/>
        <v>3</v>
      </c>
    </row>
    <row r="51" spans="1:19" ht="21.75" customHeight="1">
      <c r="A51" s="1644" t="s">
        <v>1101</v>
      </c>
      <c r="B51" s="1233" t="s">
        <v>1102</v>
      </c>
      <c r="C51" s="1654">
        <v>3.5</v>
      </c>
      <c r="D51" s="1223"/>
      <c r="E51" s="1636">
        <f t="shared" si="10"/>
        <v>0</v>
      </c>
      <c r="F51" s="1223"/>
      <c r="G51" s="1636">
        <f t="shared" si="4"/>
        <v>0</v>
      </c>
      <c r="H51" s="1223"/>
      <c r="I51" s="1201">
        <f t="shared" si="5"/>
        <v>0</v>
      </c>
      <c r="J51" s="1204" t="e">
        <f>'Commande Souvenirs, librairie'!#REF!</f>
        <v>#REF!</v>
      </c>
      <c r="K51" s="901"/>
      <c r="L51" s="1655">
        <v>0.2</v>
      </c>
      <c r="M51" s="1206" t="e">
        <f aca="true" t="shared" si="12" ref="M51:M56">C51-J51</f>
        <v>#REF!</v>
      </c>
      <c r="N51" s="1355" t="e">
        <f aca="true" t="shared" si="13" ref="N51:N56">M51*P51</f>
        <v>#REF!</v>
      </c>
      <c r="O51" s="1356">
        <f t="shared" si="0"/>
        <v>0</v>
      </c>
      <c r="P51" s="804">
        <f t="shared" si="11"/>
        <v>0</v>
      </c>
      <c r="Q51" s="1630">
        <v>5</v>
      </c>
      <c r="R51" s="1626"/>
      <c r="S51" s="1622">
        <f t="shared" si="2"/>
        <v>5</v>
      </c>
    </row>
    <row r="52" spans="1:19" ht="21.75">
      <c r="A52" s="1644"/>
      <c r="B52" s="1159" t="s">
        <v>550</v>
      </c>
      <c r="C52" s="1631">
        <v>3.5</v>
      </c>
      <c r="D52" s="525"/>
      <c r="E52" s="1628">
        <f t="shared" si="10"/>
        <v>0</v>
      </c>
      <c r="F52" s="525"/>
      <c r="G52" s="1628">
        <f t="shared" si="4"/>
        <v>0</v>
      </c>
      <c r="H52" s="525"/>
      <c r="I52" s="654">
        <f t="shared" si="5"/>
        <v>0</v>
      </c>
      <c r="J52" s="660" t="e">
        <f>'Commande Souvenirs, librairie'!#REF!</f>
        <v>#REF!</v>
      </c>
      <c r="K52" s="661"/>
      <c r="L52" s="1655"/>
      <c r="M52" s="662" t="e">
        <f t="shared" si="12"/>
        <v>#REF!</v>
      </c>
      <c r="N52" s="663" t="e">
        <f t="shared" si="13"/>
        <v>#REF!</v>
      </c>
      <c r="O52" s="664">
        <f t="shared" si="0"/>
        <v>0</v>
      </c>
      <c r="P52" s="665">
        <f t="shared" si="11"/>
        <v>0</v>
      </c>
      <c r="Q52" s="1630">
        <v>5</v>
      </c>
      <c r="R52" s="1626"/>
      <c r="S52" s="1622">
        <f t="shared" si="2"/>
        <v>5</v>
      </c>
    </row>
    <row r="53" spans="1:19" ht="21.75">
      <c r="A53" s="1644"/>
      <c r="B53" s="1159" t="s">
        <v>1103</v>
      </c>
      <c r="C53" s="1631">
        <v>3.5</v>
      </c>
      <c r="D53" s="525">
        <v>1</v>
      </c>
      <c r="E53" s="1628">
        <f t="shared" si="10"/>
        <v>3.5</v>
      </c>
      <c r="F53" s="525"/>
      <c r="G53" s="1628">
        <f t="shared" si="4"/>
        <v>0</v>
      </c>
      <c r="H53" s="525"/>
      <c r="I53" s="654">
        <f t="shared" si="5"/>
        <v>0</v>
      </c>
      <c r="J53" s="660" t="e">
        <f>'Commande Souvenirs, librairie'!#REF!</f>
        <v>#REF!</v>
      </c>
      <c r="K53" s="661"/>
      <c r="L53" s="1655"/>
      <c r="M53" s="662" t="e">
        <f t="shared" si="12"/>
        <v>#REF!</v>
      </c>
      <c r="N53" s="663" t="e">
        <f t="shared" si="13"/>
        <v>#REF!</v>
      </c>
      <c r="O53" s="664">
        <f t="shared" si="0"/>
        <v>3.5</v>
      </c>
      <c r="P53" s="665">
        <f t="shared" si="11"/>
        <v>1</v>
      </c>
      <c r="Q53" s="1630">
        <v>5</v>
      </c>
      <c r="R53" s="1626"/>
      <c r="S53" s="1622">
        <f t="shared" si="2"/>
        <v>4</v>
      </c>
    </row>
    <row r="54" spans="1:19" ht="21.75">
      <c r="A54" s="1644"/>
      <c r="B54" s="1159" t="s">
        <v>310</v>
      </c>
      <c r="C54" s="1631">
        <v>3.5</v>
      </c>
      <c r="D54" s="525">
        <v>1</v>
      </c>
      <c r="E54" s="1628">
        <f t="shared" si="10"/>
        <v>3.5</v>
      </c>
      <c r="F54" s="525"/>
      <c r="G54" s="1628">
        <f t="shared" si="4"/>
        <v>0</v>
      </c>
      <c r="H54" s="525"/>
      <c r="I54" s="654">
        <f t="shared" si="5"/>
        <v>0</v>
      </c>
      <c r="J54" s="660" t="e">
        <f>'Commande Souvenirs, librairie'!#REF!</f>
        <v>#REF!</v>
      </c>
      <c r="K54" s="661"/>
      <c r="L54" s="1655"/>
      <c r="M54" s="662" t="e">
        <f t="shared" si="12"/>
        <v>#REF!</v>
      </c>
      <c r="N54" s="663" t="e">
        <f t="shared" si="13"/>
        <v>#REF!</v>
      </c>
      <c r="O54" s="664">
        <f t="shared" si="0"/>
        <v>3.5</v>
      </c>
      <c r="P54" s="665">
        <f t="shared" si="11"/>
        <v>1</v>
      </c>
      <c r="Q54" s="1630">
        <v>5</v>
      </c>
      <c r="R54" s="1626"/>
      <c r="S54" s="1622">
        <f t="shared" si="2"/>
        <v>4</v>
      </c>
    </row>
    <row r="55" spans="1:19" ht="21.75">
      <c r="A55" s="1644"/>
      <c r="B55" s="1159" t="s">
        <v>316</v>
      </c>
      <c r="C55" s="1631">
        <v>3.5</v>
      </c>
      <c r="D55" s="525"/>
      <c r="E55" s="1628">
        <f t="shared" si="10"/>
        <v>0</v>
      </c>
      <c r="F55" s="525"/>
      <c r="G55" s="1628">
        <f t="shared" si="4"/>
        <v>0</v>
      </c>
      <c r="H55" s="525"/>
      <c r="I55" s="654">
        <f t="shared" si="5"/>
        <v>0</v>
      </c>
      <c r="J55" s="660" t="e">
        <f>'Commande Souvenirs, librairie'!#REF!</f>
        <v>#REF!</v>
      </c>
      <c r="K55" s="661"/>
      <c r="L55" s="1655"/>
      <c r="M55" s="662" t="e">
        <f t="shared" si="12"/>
        <v>#REF!</v>
      </c>
      <c r="N55" s="663" t="e">
        <f t="shared" si="13"/>
        <v>#REF!</v>
      </c>
      <c r="O55" s="664">
        <f t="shared" si="0"/>
        <v>0</v>
      </c>
      <c r="P55" s="665">
        <f t="shared" si="11"/>
        <v>0</v>
      </c>
      <c r="Q55" s="1630">
        <v>5</v>
      </c>
      <c r="R55" s="1626"/>
      <c r="S55" s="1622">
        <f t="shared" si="2"/>
        <v>5</v>
      </c>
    </row>
    <row r="56" spans="1:19" ht="21.75">
      <c r="A56" s="1644"/>
      <c r="B56" s="1159" t="s">
        <v>312</v>
      </c>
      <c r="C56" s="1631">
        <v>3.5</v>
      </c>
      <c r="D56" s="525"/>
      <c r="E56" s="1628">
        <f t="shared" si="10"/>
        <v>0</v>
      </c>
      <c r="F56" s="525"/>
      <c r="G56" s="1628">
        <f t="shared" si="4"/>
        <v>0</v>
      </c>
      <c r="H56" s="525"/>
      <c r="I56" s="654">
        <f t="shared" si="5"/>
        <v>0</v>
      </c>
      <c r="J56" s="660" t="e">
        <f>'Commande Souvenirs, librairie'!#REF!</f>
        <v>#REF!</v>
      </c>
      <c r="K56" s="661"/>
      <c r="L56" s="1655"/>
      <c r="M56" s="662" t="e">
        <f t="shared" si="12"/>
        <v>#REF!</v>
      </c>
      <c r="N56" s="663" t="e">
        <f t="shared" si="13"/>
        <v>#REF!</v>
      </c>
      <c r="O56" s="664">
        <f t="shared" si="0"/>
        <v>0</v>
      </c>
      <c r="P56" s="665">
        <f t="shared" si="11"/>
        <v>0</v>
      </c>
      <c r="Q56" s="1630">
        <v>5</v>
      </c>
      <c r="R56" s="1626"/>
      <c r="S56" s="1622">
        <f t="shared" si="2"/>
        <v>5</v>
      </c>
    </row>
    <row r="57" spans="1:19" ht="21.75">
      <c r="A57" s="1644"/>
      <c r="B57" s="1159" t="s">
        <v>1104</v>
      </c>
      <c r="C57" s="1631">
        <v>3.5</v>
      </c>
      <c r="D57" s="525"/>
      <c r="E57" s="1628">
        <f t="shared" si="10"/>
        <v>0</v>
      </c>
      <c r="F57" s="525"/>
      <c r="G57" s="1628">
        <f t="shared" si="4"/>
        <v>0</v>
      </c>
      <c r="H57" s="525"/>
      <c r="I57" s="654">
        <f t="shared" si="5"/>
        <v>0</v>
      </c>
      <c r="J57" s="660"/>
      <c r="K57" s="661"/>
      <c r="L57" s="1656"/>
      <c r="M57" s="662"/>
      <c r="N57" s="663"/>
      <c r="O57" s="664">
        <f t="shared" si="0"/>
        <v>0</v>
      </c>
      <c r="P57" s="665">
        <f t="shared" si="11"/>
        <v>0</v>
      </c>
      <c r="Q57" s="1630">
        <v>5</v>
      </c>
      <c r="R57" s="1626"/>
      <c r="S57" s="1622">
        <f t="shared" si="2"/>
        <v>5</v>
      </c>
    </row>
    <row r="58" spans="1:19" ht="21.75">
      <c r="A58" s="1644"/>
      <c r="B58" s="1159" t="s">
        <v>396</v>
      </c>
      <c r="C58" s="1631">
        <v>3.5</v>
      </c>
      <c r="D58" s="525"/>
      <c r="E58" s="1628">
        <f t="shared" si="10"/>
        <v>0</v>
      </c>
      <c r="F58" s="525"/>
      <c r="G58" s="1628">
        <f t="shared" si="4"/>
        <v>0</v>
      </c>
      <c r="H58" s="525"/>
      <c r="I58" s="654">
        <f t="shared" si="5"/>
        <v>0</v>
      </c>
      <c r="J58" s="660"/>
      <c r="K58" s="661"/>
      <c r="L58" s="1656"/>
      <c r="M58" s="662"/>
      <c r="N58" s="663"/>
      <c r="O58" s="664">
        <f t="shared" si="0"/>
        <v>0</v>
      </c>
      <c r="P58" s="665">
        <f t="shared" si="11"/>
        <v>0</v>
      </c>
      <c r="Q58" s="1630">
        <v>5</v>
      </c>
      <c r="R58" s="1626"/>
      <c r="S58" s="1622">
        <f t="shared" si="2"/>
        <v>5</v>
      </c>
    </row>
    <row r="59" spans="1:19" ht="21.75">
      <c r="A59" s="1644"/>
      <c r="B59" s="1159" t="s">
        <v>611</v>
      </c>
      <c r="C59" s="1631">
        <v>5</v>
      </c>
      <c r="D59" s="525"/>
      <c r="E59" s="1628">
        <f t="shared" si="10"/>
        <v>0</v>
      </c>
      <c r="F59" s="525"/>
      <c r="G59" s="1628">
        <f t="shared" si="4"/>
        <v>0</v>
      </c>
      <c r="H59" s="525"/>
      <c r="I59" s="654">
        <f t="shared" si="5"/>
        <v>0</v>
      </c>
      <c r="J59" s="660"/>
      <c r="K59" s="661"/>
      <c r="L59" s="1656"/>
      <c r="M59" s="662"/>
      <c r="N59" s="663"/>
      <c r="O59" s="664">
        <f t="shared" si="0"/>
        <v>0</v>
      </c>
      <c r="P59" s="665">
        <f t="shared" si="11"/>
        <v>0</v>
      </c>
      <c r="Q59" s="1630">
        <v>6</v>
      </c>
      <c r="R59" s="1626"/>
      <c r="S59" s="1622">
        <f t="shared" si="2"/>
        <v>6</v>
      </c>
    </row>
    <row r="60" spans="1:19" ht="21.75">
      <c r="A60" s="1644"/>
      <c r="B60" s="1159" t="s">
        <v>1105</v>
      </c>
      <c r="C60" s="1631">
        <v>7.9</v>
      </c>
      <c r="D60" s="525"/>
      <c r="E60" s="1628">
        <f t="shared" si="10"/>
        <v>0</v>
      </c>
      <c r="F60" s="525"/>
      <c r="G60" s="1628">
        <f t="shared" si="4"/>
        <v>0</v>
      </c>
      <c r="H60" s="525"/>
      <c r="I60" s="654">
        <f t="shared" si="5"/>
        <v>0</v>
      </c>
      <c r="J60" s="660"/>
      <c r="K60" s="661"/>
      <c r="L60" s="1656"/>
      <c r="M60" s="662"/>
      <c r="N60" s="663"/>
      <c r="O60" s="664">
        <f t="shared" si="0"/>
        <v>0</v>
      </c>
      <c r="P60" s="665">
        <f t="shared" si="11"/>
        <v>0</v>
      </c>
      <c r="Q60" s="1630">
        <v>10</v>
      </c>
      <c r="R60" s="1626"/>
      <c r="S60" s="1622">
        <f t="shared" si="2"/>
        <v>10</v>
      </c>
    </row>
    <row r="61" spans="1:19" ht="21.75">
      <c r="A61" s="1644"/>
      <c r="B61" s="1159" t="s">
        <v>1106</v>
      </c>
      <c r="C61" s="1631">
        <v>7.5</v>
      </c>
      <c r="D61" s="525"/>
      <c r="E61" s="1628">
        <f t="shared" si="10"/>
        <v>0</v>
      </c>
      <c r="F61" s="525"/>
      <c r="G61" s="1628">
        <f t="shared" si="4"/>
        <v>0</v>
      </c>
      <c r="H61" s="525"/>
      <c r="I61" s="654">
        <f t="shared" si="5"/>
        <v>0</v>
      </c>
      <c r="J61" s="660"/>
      <c r="K61" s="661"/>
      <c r="L61" s="1656"/>
      <c r="M61" s="662"/>
      <c r="N61" s="663"/>
      <c r="O61" s="664">
        <f t="shared" si="0"/>
        <v>0</v>
      </c>
      <c r="P61" s="665">
        <f t="shared" si="11"/>
        <v>0</v>
      </c>
      <c r="Q61" s="1630">
        <v>5</v>
      </c>
      <c r="R61" s="1626"/>
      <c r="S61" s="1622">
        <f t="shared" si="2"/>
        <v>5</v>
      </c>
    </row>
    <row r="62" spans="1:19" ht="21.75">
      <c r="A62" s="1644"/>
      <c r="B62" s="1159" t="s">
        <v>309</v>
      </c>
      <c r="C62" s="1631">
        <v>6.5</v>
      </c>
      <c r="D62" s="525">
        <v>4</v>
      </c>
      <c r="E62" s="1628">
        <f t="shared" si="10"/>
        <v>26</v>
      </c>
      <c r="F62" s="525"/>
      <c r="G62" s="1628">
        <f t="shared" si="4"/>
        <v>0</v>
      </c>
      <c r="H62" s="525"/>
      <c r="I62" s="654">
        <f t="shared" si="5"/>
        <v>0</v>
      </c>
      <c r="J62" s="660" t="e">
        <f>'Commande Souvenirs, librairie'!#REF!</f>
        <v>#REF!</v>
      </c>
      <c r="K62" s="661"/>
      <c r="L62" s="1657">
        <v>0.2</v>
      </c>
      <c r="M62" s="662" t="e">
        <f aca="true" t="shared" si="14" ref="M62:M64">C62-J62</f>
        <v>#REF!</v>
      </c>
      <c r="N62" s="663" t="e">
        <f>M62*P62</f>
        <v>#REF!</v>
      </c>
      <c r="O62" s="664">
        <f t="shared" si="0"/>
        <v>26</v>
      </c>
      <c r="P62" s="665">
        <f t="shared" si="11"/>
        <v>4</v>
      </c>
      <c r="Q62" s="1630">
        <v>10</v>
      </c>
      <c r="R62" s="1626"/>
      <c r="S62" s="1622">
        <f t="shared" si="2"/>
        <v>6</v>
      </c>
    </row>
    <row r="63" spans="1:19" ht="21.75">
      <c r="A63" s="1644"/>
      <c r="B63" s="1159" t="s">
        <v>1107</v>
      </c>
      <c r="C63" s="1631">
        <v>10</v>
      </c>
      <c r="D63" s="525"/>
      <c r="E63" s="1628">
        <f t="shared" si="10"/>
        <v>0</v>
      </c>
      <c r="F63" s="525"/>
      <c r="G63" s="1628">
        <f t="shared" si="4"/>
        <v>0</v>
      </c>
      <c r="H63" s="525"/>
      <c r="I63" s="654">
        <f t="shared" si="5"/>
        <v>0</v>
      </c>
      <c r="J63" s="660">
        <f>'Commande Souvenirs, librairie'!E147</f>
        <v>6.25</v>
      </c>
      <c r="K63" s="661"/>
      <c r="L63" s="1658">
        <v>0.2</v>
      </c>
      <c r="M63" s="662">
        <f t="shared" si="14"/>
        <v>3.75</v>
      </c>
      <c r="N63" s="663"/>
      <c r="O63" s="664">
        <f t="shared" si="0"/>
        <v>0</v>
      </c>
      <c r="P63" s="665">
        <f t="shared" si="11"/>
        <v>0</v>
      </c>
      <c r="Q63" s="1630">
        <v>5</v>
      </c>
      <c r="R63" s="1626"/>
      <c r="S63" s="1622">
        <f t="shared" si="2"/>
        <v>5</v>
      </c>
    </row>
    <row r="64" spans="1:19" ht="21.75">
      <c r="A64" s="1644"/>
      <c r="B64" s="1159" t="s">
        <v>1108</v>
      </c>
      <c r="C64" s="1631">
        <v>8.2</v>
      </c>
      <c r="D64" s="525"/>
      <c r="E64" s="1628">
        <f t="shared" si="10"/>
        <v>0</v>
      </c>
      <c r="F64" s="525"/>
      <c r="G64" s="1628">
        <f t="shared" si="4"/>
        <v>0</v>
      </c>
      <c r="H64" s="525"/>
      <c r="I64" s="654">
        <f t="shared" si="5"/>
        <v>0</v>
      </c>
      <c r="J64" s="660" t="e">
        <f>'Commande Souvenirs, librairie'!#REF!</f>
        <v>#REF!</v>
      </c>
      <c r="K64" s="661"/>
      <c r="L64" s="1658"/>
      <c r="M64" s="662" t="e">
        <f t="shared" si="14"/>
        <v>#REF!</v>
      </c>
      <c r="N64" s="663" t="e">
        <f>M64*P64</f>
        <v>#REF!</v>
      </c>
      <c r="O64" s="664">
        <f t="shared" si="0"/>
        <v>0</v>
      </c>
      <c r="P64" s="665">
        <f t="shared" si="11"/>
        <v>0</v>
      </c>
      <c r="Q64" s="1630">
        <v>6</v>
      </c>
      <c r="R64" s="1626"/>
      <c r="S64" s="1622">
        <f t="shared" si="2"/>
        <v>6</v>
      </c>
    </row>
    <row r="65" spans="1:19" ht="21.75">
      <c r="A65" s="1644"/>
      <c r="B65" s="1159" t="s">
        <v>1109</v>
      </c>
      <c r="C65" s="1631">
        <v>7.9</v>
      </c>
      <c r="D65" s="525"/>
      <c r="E65" s="1628">
        <f t="shared" si="10"/>
        <v>0</v>
      </c>
      <c r="F65" s="525"/>
      <c r="G65" s="1628">
        <f t="shared" si="4"/>
        <v>0</v>
      </c>
      <c r="H65" s="525"/>
      <c r="I65" s="654">
        <f t="shared" si="5"/>
        <v>0</v>
      </c>
      <c r="J65" s="660"/>
      <c r="K65" s="661"/>
      <c r="L65" s="1658"/>
      <c r="M65" s="662"/>
      <c r="N65" s="663"/>
      <c r="O65" s="664">
        <f t="shared" si="0"/>
        <v>0</v>
      </c>
      <c r="P65" s="665">
        <f t="shared" si="11"/>
        <v>0</v>
      </c>
      <c r="Q65" s="1630">
        <v>10</v>
      </c>
      <c r="R65" s="1626"/>
      <c r="S65" s="1622">
        <f t="shared" si="2"/>
        <v>10</v>
      </c>
    </row>
    <row r="66" spans="1:19" ht="21.75">
      <c r="A66" s="1644"/>
      <c r="B66" s="1159" t="s">
        <v>1110</v>
      </c>
      <c r="C66" s="1631">
        <v>25</v>
      </c>
      <c r="D66" s="525"/>
      <c r="E66" s="1628">
        <f t="shared" si="10"/>
        <v>0</v>
      </c>
      <c r="F66" s="525"/>
      <c r="G66" s="1628">
        <f t="shared" si="4"/>
        <v>0</v>
      </c>
      <c r="H66" s="525"/>
      <c r="I66" s="654">
        <f t="shared" si="5"/>
        <v>0</v>
      </c>
      <c r="J66" s="660" t="e">
        <f>'Commande Souvenirs, librairie'!#REF!</f>
        <v>#REF!</v>
      </c>
      <c r="K66" s="661"/>
      <c r="L66" s="1658"/>
      <c r="M66" s="662" t="e">
        <f aca="true" t="shared" si="15" ref="M66:M67">C66-J66</f>
        <v>#REF!</v>
      </c>
      <c r="N66" s="663" t="e">
        <f aca="true" t="shared" si="16" ref="N66:N67">M66*P66</f>
        <v>#REF!</v>
      </c>
      <c r="O66" s="664">
        <f t="shared" si="0"/>
        <v>0</v>
      </c>
      <c r="P66" s="665">
        <f t="shared" si="11"/>
        <v>0</v>
      </c>
      <c r="Q66" s="1630">
        <v>5</v>
      </c>
      <c r="R66" s="1626"/>
      <c r="S66" s="1622">
        <f t="shared" si="2"/>
        <v>5</v>
      </c>
    </row>
    <row r="67" spans="1:19" ht="21.75">
      <c r="A67" s="1644"/>
      <c r="B67" s="1159" t="s">
        <v>1111</v>
      </c>
      <c r="C67" s="1631">
        <v>11.3</v>
      </c>
      <c r="D67" s="525"/>
      <c r="E67" s="1628">
        <f t="shared" si="10"/>
        <v>0</v>
      </c>
      <c r="F67" s="525"/>
      <c r="G67" s="1628">
        <f t="shared" si="4"/>
        <v>0</v>
      </c>
      <c r="H67" s="525"/>
      <c r="I67" s="654">
        <f t="shared" si="5"/>
        <v>0</v>
      </c>
      <c r="J67" s="660" t="e">
        <f>'Commande Souvenirs, librairie'!#REF!</f>
        <v>#REF!</v>
      </c>
      <c r="K67" s="661"/>
      <c r="L67" s="1658"/>
      <c r="M67" s="662" t="e">
        <f t="shared" si="15"/>
        <v>#REF!</v>
      </c>
      <c r="N67" s="663" t="e">
        <f t="shared" si="16"/>
        <v>#REF!</v>
      </c>
      <c r="O67" s="664">
        <f t="shared" si="0"/>
        <v>0</v>
      </c>
      <c r="P67" s="665">
        <f t="shared" si="11"/>
        <v>0</v>
      </c>
      <c r="Q67" s="1630">
        <v>5</v>
      </c>
      <c r="R67" s="1626"/>
      <c r="S67" s="1622">
        <f t="shared" si="2"/>
        <v>5</v>
      </c>
    </row>
    <row r="68" spans="1:19" ht="21.75">
      <c r="A68" s="1644"/>
      <c r="B68" s="1236" t="s">
        <v>1112</v>
      </c>
      <c r="C68" s="1659">
        <v>7</v>
      </c>
      <c r="D68" s="526">
        <v>1</v>
      </c>
      <c r="E68" s="1660">
        <f t="shared" si="10"/>
        <v>7</v>
      </c>
      <c r="F68" s="526"/>
      <c r="G68" s="1660">
        <f t="shared" si="4"/>
        <v>0</v>
      </c>
      <c r="H68" s="526"/>
      <c r="I68" s="677">
        <f t="shared" si="5"/>
        <v>0</v>
      </c>
      <c r="J68" s="684"/>
      <c r="K68" s="685"/>
      <c r="L68" s="1658"/>
      <c r="M68" s="686"/>
      <c r="N68" s="687"/>
      <c r="O68" s="688">
        <f t="shared" si="0"/>
        <v>7</v>
      </c>
      <c r="P68" s="665">
        <f t="shared" si="11"/>
        <v>1</v>
      </c>
      <c r="Q68" s="1630">
        <v>5</v>
      </c>
      <c r="R68" s="1626"/>
      <c r="S68" s="1622">
        <f t="shared" si="2"/>
        <v>4</v>
      </c>
    </row>
    <row r="69" spans="1:19" ht="21.75">
      <c r="A69" s="1644"/>
      <c r="B69" s="1236" t="s">
        <v>236</v>
      </c>
      <c r="C69" s="1659">
        <v>2.5</v>
      </c>
      <c r="D69" s="526"/>
      <c r="E69" s="1660">
        <f t="shared" si="10"/>
        <v>0</v>
      </c>
      <c r="F69" s="526"/>
      <c r="G69" s="1660">
        <f t="shared" si="4"/>
        <v>0</v>
      </c>
      <c r="H69" s="526"/>
      <c r="I69" s="677">
        <f t="shared" si="5"/>
        <v>0</v>
      </c>
      <c r="J69" s="684"/>
      <c r="K69" s="685"/>
      <c r="L69" s="1658"/>
      <c r="M69" s="686"/>
      <c r="N69" s="687"/>
      <c r="O69" s="688">
        <f t="shared" si="0"/>
        <v>0</v>
      </c>
      <c r="P69" s="665">
        <f t="shared" si="11"/>
        <v>0</v>
      </c>
      <c r="Q69" s="1661">
        <v>20</v>
      </c>
      <c r="R69" s="1662"/>
      <c r="S69" s="1622">
        <f t="shared" si="2"/>
        <v>20</v>
      </c>
    </row>
    <row r="70" spans="1:19" ht="21.75">
      <c r="A70" s="1644"/>
      <c r="B70" s="1236" t="s">
        <v>1113</v>
      </c>
      <c r="C70" s="1659">
        <v>2</v>
      </c>
      <c r="D70" s="526">
        <v>1</v>
      </c>
      <c r="E70" s="1660">
        <f t="shared" si="10"/>
        <v>2</v>
      </c>
      <c r="F70" s="526"/>
      <c r="G70" s="1660">
        <f t="shared" si="4"/>
        <v>0</v>
      </c>
      <c r="H70" s="526"/>
      <c r="I70" s="677">
        <f t="shared" si="5"/>
        <v>0</v>
      </c>
      <c r="J70" s="684" t="e">
        <f>'Commande Souvenirs, librairie'!#REF!</f>
        <v>#REF!</v>
      </c>
      <c r="K70" s="685"/>
      <c r="L70" s="1658"/>
      <c r="M70" s="686" t="e">
        <f>C70-J70</f>
        <v>#REF!</v>
      </c>
      <c r="N70" s="687" t="e">
        <f>M70*P70</f>
        <v>#REF!</v>
      </c>
      <c r="O70" s="688">
        <f t="shared" si="0"/>
        <v>2</v>
      </c>
      <c r="P70" s="689">
        <f t="shared" si="11"/>
        <v>1</v>
      </c>
      <c r="Q70" s="1663">
        <v>20</v>
      </c>
      <c r="R70" s="1662"/>
      <c r="S70" s="1622">
        <f t="shared" si="2"/>
        <v>19</v>
      </c>
    </row>
    <row r="71" spans="1:16" ht="21.75">
      <c r="A71" s="1664"/>
      <c r="B71" s="1665" t="s">
        <v>618</v>
      </c>
      <c r="C71" s="1666"/>
      <c r="D71" s="1667">
        <v>14</v>
      </c>
      <c r="E71" s="1668">
        <f>SUM(E5:E70)</f>
        <v>73.8</v>
      </c>
      <c r="F71" s="1667">
        <f>SUM(F5:F70)</f>
        <v>0</v>
      </c>
      <c r="G71" s="1669">
        <f>SUM(G5:G70)</f>
        <v>0</v>
      </c>
      <c r="H71" s="1667">
        <f>SUM(H5:H70)</f>
        <v>0</v>
      </c>
      <c r="I71" s="1670">
        <f>SUM(I5:I70)</f>
        <v>0</v>
      </c>
      <c r="J71" s="1671"/>
      <c r="K71" s="1671"/>
      <c r="L71" s="1671"/>
      <c r="M71" s="1327"/>
      <c r="N71" s="1672" t="e">
        <f>SUM(N5:N70)</f>
        <v>#REF!</v>
      </c>
      <c r="O71" s="1465">
        <f>SUM(O5:O70)</f>
        <v>73.8</v>
      </c>
      <c r="P71" s="1466">
        <f>SUM(P5:P70)</f>
        <v>14</v>
      </c>
    </row>
    <row r="72" spans="1:9" ht="15.75">
      <c r="A72" s="961"/>
      <c r="D72" s="1673" t="s">
        <v>480</v>
      </c>
      <c r="E72" s="329"/>
      <c r="F72" s="329" t="s">
        <v>7</v>
      </c>
      <c r="G72" s="329"/>
      <c r="H72" s="1673" t="s">
        <v>8</v>
      </c>
      <c r="I72" s="329"/>
    </row>
    <row r="73" ht="12.75">
      <c r="E73" s="307"/>
    </row>
    <row r="74" spans="2:5" ht="12.75">
      <c r="B74" t="s">
        <v>1114</v>
      </c>
      <c r="C74" s="1674">
        <v>4</v>
      </c>
      <c r="D74">
        <v>33</v>
      </c>
      <c r="E74" s="1674">
        <f aca="true" t="shared" si="17" ref="E74:E76">D74*C74</f>
        <v>132</v>
      </c>
    </row>
    <row r="75" spans="2:5" ht="12.75">
      <c r="B75" t="s">
        <v>1115</v>
      </c>
      <c r="C75" s="1674">
        <v>3</v>
      </c>
      <c r="D75">
        <v>6</v>
      </c>
      <c r="E75" s="1674">
        <f t="shared" si="17"/>
        <v>18</v>
      </c>
    </row>
    <row r="76" spans="2:5" ht="12.75">
      <c r="B76" t="s">
        <v>1116</v>
      </c>
      <c r="C76" s="1674">
        <v>0</v>
      </c>
      <c r="D76">
        <v>11</v>
      </c>
      <c r="E76" s="1674">
        <f t="shared" si="17"/>
        <v>0</v>
      </c>
    </row>
    <row r="78" ht="12.75">
      <c r="E78" s="1674">
        <f>SUM(E74:E76)</f>
        <v>150</v>
      </c>
    </row>
    <row r="79" spans="3:5" ht="12.75">
      <c r="C79" t="s">
        <v>1117</v>
      </c>
      <c r="E79" s="1675">
        <f>E78+E71</f>
        <v>223.8</v>
      </c>
    </row>
  </sheetData>
  <sheetProtection selectLockedCells="1" selectUnlockedCells="1"/>
  <mergeCells count="15">
    <mergeCell ref="A3:B3"/>
    <mergeCell ref="D3:E3"/>
    <mergeCell ref="F3:G3"/>
    <mergeCell ref="H3:I3"/>
    <mergeCell ref="A5:A17"/>
    <mergeCell ref="L9:L13"/>
    <mergeCell ref="A18:A23"/>
    <mergeCell ref="L18:L23"/>
    <mergeCell ref="A24:A42"/>
    <mergeCell ref="L24:L42"/>
    <mergeCell ref="A44:A47"/>
    <mergeCell ref="A48:A49"/>
    <mergeCell ref="A51:A70"/>
    <mergeCell ref="L51:L56"/>
    <mergeCell ref="L63:L7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5"/>
  </sheetPr>
  <dimension ref="A2:T89"/>
  <sheetViews>
    <sheetView workbookViewId="0" topLeftCell="A63">
      <selection activeCell="R77" sqref="R77"/>
    </sheetView>
  </sheetViews>
  <sheetFormatPr defaultColWidth="9.140625" defaultRowHeight="12.75"/>
  <cols>
    <col min="1" max="1" width="17.00390625" style="0" customWidth="1"/>
    <col min="2" max="2" width="29.28125" style="0" customWidth="1"/>
    <col min="3" max="3" width="11.00390625" style="0" customWidth="1"/>
    <col min="4" max="4" width="11.421875" style="0" hidden="1" customWidth="1"/>
    <col min="5" max="5" width="18.57421875" style="0" hidden="1" customWidth="1"/>
    <col min="6" max="6" width="11.421875" style="0" hidden="1" customWidth="1"/>
    <col min="7" max="9" width="13.7109375" style="0" hidden="1" customWidth="1"/>
    <col min="10" max="10" width="11.421875" style="0" hidden="1" customWidth="1"/>
    <col min="11" max="11" width="14.8515625" style="0" hidden="1" customWidth="1"/>
    <col min="12" max="14" width="11.421875" style="0" hidden="1" customWidth="1"/>
    <col min="15" max="15" width="16.421875" style="0" hidden="1" customWidth="1"/>
    <col min="16" max="16" width="10.140625" style="0" customWidth="1"/>
    <col min="17" max="18" width="9.28125" style="0" customWidth="1"/>
    <col min="19" max="16384" width="11.00390625" style="0" customWidth="1"/>
  </cols>
  <sheetData>
    <row r="1" ht="13.5"/>
    <row r="2" spans="1:15" ht="22.5" customHeight="1">
      <c r="A2" s="599" t="s">
        <v>1118</v>
      </c>
      <c r="B2" s="599"/>
      <c r="C2" s="1676">
        <v>2021</v>
      </c>
      <c r="D2" s="1677" t="s">
        <v>5</v>
      </c>
      <c r="E2" s="1677"/>
      <c r="F2" s="1677" t="s">
        <v>6</v>
      </c>
      <c r="G2" s="1677"/>
      <c r="H2" s="1677" t="s">
        <v>7</v>
      </c>
      <c r="I2" s="1677"/>
      <c r="J2" s="1677" t="s">
        <v>8</v>
      </c>
      <c r="K2" s="1677"/>
      <c r="L2" s="1678"/>
      <c r="M2" s="1679"/>
      <c r="N2" s="1679"/>
      <c r="O2" s="1680"/>
    </row>
    <row r="3" spans="1:19" ht="90.75" customHeight="1">
      <c r="A3" s="1681" t="s">
        <v>494</v>
      </c>
      <c r="B3" s="1682" t="s">
        <v>495</v>
      </c>
      <c r="C3" s="1683" t="s">
        <v>1072</v>
      </c>
      <c r="D3" s="1605" t="s">
        <v>497</v>
      </c>
      <c r="E3" s="1606" t="s">
        <v>1119</v>
      </c>
      <c r="F3" s="1605" t="s">
        <v>497</v>
      </c>
      <c r="G3" s="1606" t="s">
        <v>505</v>
      </c>
      <c r="H3" s="1605" t="s">
        <v>497</v>
      </c>
      <c r="I3" s="1606" t="s">
        <v>505</v>
      </c>
      <c r="J3" s="1605" t="s">
        <v>497</v>
      </c>
      <c r="K3" s="1606" t="s">
        <v>506</v>
      </c>
      <c r="L3" s="1608" t="s">
        <v>1120</v>
      </c>
      <c r="M3" s="1609" t="s">
        <v>624</v>
      </c>
      <c r="N3" s="1610" t="s">
        <v>515</v>
      </c>
      <c r="O3" s="1684" t="s">
        <v>516</v>
      </c>
      <c r="P3" s="1612" t="s">
        <v>625</v>
      </c>
      <c r="Q3" s="1613" t="s">
        <v>1121</v>
      </c>
      <c r="R3" s="1613"/>
      <c r="S3" s="1614" t="s">
        <v>1078</v>
      </c>
    </row>
    <row r="4" spans="1:19" ht="21.75" customHeight="1">
      <c r="A4" s="1685" t="s">
        <v>1122</v>
      </c>
      <c r="B4" s="1686" t="s">
        <v>1123</v>
      </c>
      <c r="C4" s="1687">
        <v>5</v>
      </c>
      <c r="D4" s="1688"/>
      <c r="E4" s="1636">
        <f aca="true" t="shared" si="0" ref="E4:E7">D4*C4</f>
        <v>0</v>
      </c>
      <c r="F4" s="1223"/>
      <c r="G4" s="1636">
        <f aca="true" t="shared" si="1" ref="G4:G7">F4*C4</f>
        <v>0</v>
      </c>
      <c r="H4" s="1223"/>
      <c r="I4" s="1636">
        <f aca="true" t="shared" si="2" ref="I4:I7">H4*C4</f>
        <v>0</v>
      </c>
      <c r="J4" s="1223"/>
      <c r="K4" s="1636">
        <f aca="true" t="shared" si="3" ref="K4:K85">J4*C4</f>
        <v>0</v>
      </c>
      <c r="L4" s="1689">
        <f>'[3]Commande Alimentaire'!E27</f>
        <v>3.7319999999999998</v>
      </c>
      <c r="M4" s="1206">
        <f aca="true" t="shared" si="4" ref="M4:M7">C4-L4</f>
        <v>1.2680000000000002</v>
      </c>
      <c r="N4" s="1355">
        <f aca="true" t="shared" si="5" ref="N4:N11">M4*P4</f>
        <v>0</v>
      </c>
      <c r="O4" s="1690">
        <f aca="true" t="shared" si="6" ref="O4:O11">K4+G4+E4+I4</f>
        <v>0</v>
      </c>
      <c r="P4" s="1691">
        <f aca="true" t="shared" si="7" ref="P4:P85">D4+F4+J4+H4</f>
        <v>0</v>
      </c>
      <c r="Q4" s="1692">
        <v>6</v>
      </c>
      <c r="R4" s="1692"/>
      <c r="S4" s="1693">
        <f aca="true" t="shared" si="8" ref="S4:S85">Q4+R4</f>
        <v>6</v>
      </c>
    </row>
    <row r="5" spans="1:19" ht="21.75">
      <c r="A5" s="1685"/>
      <c r="B5" s="1694" t="s">
        <v>1124</v>
      </c>
      <c r="C5" s="1695">
        <v>5</v>
      </c>
      <c r="D5" s="1696"/>
      <c r="E5" s="1628">
        <f t="shared" si="0"/>
        <v>0</v>
      </c>
      <c r="F5" s="525"/>
      <c r="G5" s="1628">
        <f t="shared" si="1"/>
        <v>0</v>
      </c>
      <c r="H5" s="525"/>
      <c r="I5" s="1628">
        <f t="shared" si="2"/>
        <v>0</v>
      </c>
      <c r="J5" s="525"/>
      <c r="K5" s="1628">
        <f t="shared" si="3"/>
        <v>0</v>
      </c>
      <c r="L5" s="1697">
        <f>'[3]Commande Alimentaire'!E29</f>
        <v>3.7319999999999998</v>
      </c>
      <c r="M5" s="662">
        <f t="shared" si="4"/>
        <v>1.2680000000000002</v>
      </c>
      <c r="N5" s="663">
        <f t="shared" si="5"/>
        <v>0</v>
      </c>
      <c r="O5" s="1698">
        <f t="shared" si="6"/>
        <v>0</v>
      </c>
      <c r="P5" s="1699">
        <f t="shared" si="7"/>
        <v>0</v>
      </c>
      <c r="Q5" s="1700">
        <v>6</v>
      </c>
      <c r="R5" s="1700"/>
      <c r="S5" s="1693">
        <f t="shared" si="8"/>
        <v>6</v>
      </c>
    </row>
    <row r="6" spans="1:19" ht="21.75">
      <c r="A6" s="1685"/>
      <c r="B6" s="659" t="s">
        <v>1125</v>
      </c>
      <c r="C6" s="1695">
        <v>5</v>
      </c>
      <c r="D6" s="1696"/>
      <c r="E6" s="1628">
        <f t="shared" si="0"/>
        <v>0</v>
      </c>
      <c r="F6" s="525"/>
      <c r="G6" s="1628">
        <f t="shared" si="1"/>
        <v>0</v>
      </c>
      <c r="H6" s="525"/>
      <c r="I6" s="1628">
        <f t="shared" si="2"/>
        <v>0</v>
      </c>
      <c r="J6" s="525"/>
      <c r="K6" s="1628">
        <f t="shared" si="3"/>
        <v>0</v>
      </c>
      <c r="L6" s="1697">
        <f>'[3]Commande Alimentaire'!E34</f>
        <v>3.7319999999999998</v>
      </c>
      <c r="M6" s="662">
        <f t="shared" si="4"/>
        <v>1.2680000000000002</v>
      </c>
      <c r="N6" s="663">
        <f t="shared" si="5"/>
        <v>0</v>
      </c>
      <c r="O6" s="1698">
        <f t="shared" si="6"/>
        <v>0</v>
      </c>
      <c r="P6" s="1699">
        <f t="shared" si="7"/>
        <v>0</v>
      </c>
      <c r="Q6" s="1700">
        <v>6</v>
      </c>
      <c r="R6" s="1700"/>
      <c r="S6" s="1693">
        <f t="shared" si="8"/>
        <v>6</v>
      </c>
    </row>
    <row r="7" spans="1:19" ht="21.75">
      <c r="A7" s="1685"/>
      <c r="B7" s="1694" t="s">
        <v>1126</v>
      </c>
      <c r="C7" s="1695">
        <v>4.5</v>
      </c>
      <c r="D7" s="1696"/>
      <c r="E7" s="1628">
        <f t="shared" si="0"/>
        <v>0</v>
      </c>
      <c r="F7" s="525"/>
      <c r="G7" s="1628">
        <f t="shared" si="1"/>
        <v>0</v>
      </c>
      <c r="H7" s="525"/>
      <c r="I7" s="1628">
        <f t="shared" si="2"/>
        <v>0</v>
      </c>
      <c r="J7" s="525"/>
      <c r="K7" s="1628">
        <f t="shared" si="3"/>
        <v>0</v>
      </c>
      <c r="L7" s="1697">
        <f>'[3]Commande Alimentaire'!E35</f>
        <v>2.76</v>
      </c>
      <c r="M7" s="662">
        <f t="shared" si="4"/>
        <v>1.7400000000000002</v>
      </c>
      <c r="N7" s="663">
        <f t="shared" si="5"/>
        <v>0</v>
      </c>
      <c r="O7" s="1698">
        <f t="shared" si="6"/>
        <v>0</v>
      </c>
      <c r="P7" s="1699">
        <f t="shared" si="7"/>
        <v>0</v>
      </c>
      <c r="Q7" s="1700">
        <v>6</v>
      </c>
      <c r="R7" s="1700"/>
      <c r="S7" s="1693">
        <f t="shared" si="8"/>
        <v>6</v>
      </c>
    </row>
    <row r="8" spans="1:19" ht="21.75">
      <c r="A8" s="1685"/>
      <c r="B8" s="1701" t="s">
        <v>1127</v>
      </c>
      <c r="C8" s="1702">
        <v>3.15</v>
      </c>
      <c r="D8" s="1703"/>
      <c r="E8" s="1660"/>
      <c r="F8" s="526"/>
      <c r="G8" s="1660"/>
      <c r="H8" s="526"/>
      <c r="I8" s="1660"/>
      <c r="J8" s="526"/>
      <c r="K8" s="1660">
        <f t="shared" si="3"/>
        <v>0</v>
      </c>
      <c r="L8" s="1704">
        <f>'Ventes St Sever'!AG29</f>
        <v>1.3399999999999999</v>
      </c>
      <c r="M8" s="686">
        <f>'Ventes St Sever'!AH29</f>
        <v>0</v>
      </c>
      <c r="N8" s="687">
        <f t="shared" si="5"/>
        <v>0</v>
      </c>
      <c r="O8" s="1698">
        <f t="shared" si="6"/>
        <v>0</v>
      </c>
      <c r="P8" s="1699">
        <f t="shared" si="7"/>
        <v>0</v>
      </c>
      <c r="Q8" s="1700">
        <v>6</v>
      </c>
      <c r="R8" s="1700"/>
      <c r="S8" s="1693">
        <f t="shared" si="8"/>
        <v>6</v>
      </c>
    </row>
    <row r="9" spans="1:19" ht="20.25">
      <c r="A9" s="1685"/>
      <c r="B9" s="1705" t="s">
        <v>1128</v>
      </c>
      <c r="C9" s="1706">
        <v>5</v>
      </c>
      <c r="D9" s="1707"/>
      <c r="E9" s="1640">
        <f aca="true" t="shared" si="9" ref="E9:E85">D9*C9</f>
        <v>0</v>
      </c>
      <c r="F9" s="1317"/>
      <c r="G9" s="1640">
        <f aca="true" t="shared" si="10" ref="G9:G27">F9*C9</f>
        <v>0</v>
      </c>
      <c r="H9" s="1317"/>
      <c r="I9" s="1640">
        <f aca="true" t="shared" si="11" ref="I9:I10">H9*C9</f>
        <v>0</v>
      </c>
      <c r="J9" s="1317"/>
      <c r="K9" s="1640">
        <f t="shared" si="3"/>
        <v>0</v>
      </c>
      <c r="L9" s="1708">
        <f>'[3]Commande Alimentaire'!E30</f>
        <v>3.3700799999999997</v>
      </c>
      <c r="M9" s="1080">
        <f aca="true" t="shared" si="12" ref="M9:M11">C9-L9</f>
        <v>1.6299200000000003</v>
      </c>
      <c r="N9" s="902">
        <f t="shared" si="5"/>
        <v>0</v>
      </c>
      <c r="O9" s="1709">
        <f t="shared" si="6"/>
        <v>0</v>
      </c>
      <c r="P9" s="1710">
        <f t="shared" si="7"/>
        <v>0</v>
      </c>
      <c r="Q9" s="1711">
        <v>6</v>
      </c>
      <c r="R9" s="1711"/>
      <c r="S9" s="1693">
        <f t="shared" si="8"/>
        <v>6</v>
      </c>
    </row>
    <row r="10" spans="1:19" ht="21.75" customHeight="1">
      <c r="A10" s="1685" t="s">
        <v>1016</v>
      </c>
      <c r="B10" s="1686" t="s">
        <v>343</v>
      </c>
      <c r="C10" s="1687">
        <v>21</v>
      </c>
      <c r="D10" s="1688"/>
      <c r="E10" s="1636">
        <f t="shared" si="9"/>
        <v>0</v>
      </c>
      <c r="F10" s="1223"/>
      <c r="G10" s="1636">
        <f t="shared" si="10"/>
        <v>0</v>
      </c>
      <c r="H10" s="1223"/>
      <c r="I10" s="1636">
        <f t="shared" si="11"/>
        <v>0</v>
      </c>
      <c r="J10" s="1223"/>
      <c r="K10" s="1636">
        <f t="shared" si="3"/>
        <v>0</v>
      </c>
      <c r="L10" s="1689">
        <f>'[3]Commande Souvenirs, librairie'!F81</f>
        <v>16.919999999999998</v>
      </c>
      <c r="M10" s="1206">
        <f t="shared" si="12"/>
        <v>4.080000000000002</v>
      </c>
      <c r="N10" s="1355">
        <f t="shared" si="5"/>
        <v>0</v>
      </c>
      <c r="O10" s="1690">
        <f t="shared" si="6"/>
        <v>0</v>
      </c>
      <c r="P10" s="1691">
        <f t="shared" si="7"/>
        <v>0</v>
      </c>
      <c r="Q10" s="1692">
        <v>5</v>
      </c>
      <c r="R10" s="1692"/>
      <c r="S10" s="1693">
        <f t="shared" si="8"/>
        <v>5</v>
      </c>
    </row>
    <row r="11" spans="1:19" ht="20.25">
      <c r="A11" s="1685"/>
      <c r="B11" s="1694" t="s">
        <v>342</v>
      </c>
      <c r="C11" s="1695">
        <v>10</v>
      </c>
      <c r="D11" s="1696"/>
      <c r="E11" s="1628">
        <f t="shared" si="9"/>
        <v>0</v>
      </c>
      <c r="F11" s="525"/>
      <c r="G11" s="1628">
        <f t="shared" si="10"/>
        <v>0</v>
      </c>
      <c r="H11" s="525"/>
      <c r="I11" s="1628">
        <f>C11*H11</f>
        <v>0</v>
      </c>
      <c r="J11" s="525"/>
      <c r="K11" s="1628">
        <f t="shared" si="3"/>
        <v>0</v>
      </c>
      <c r="L11" s="1697">
        <f>'[3]Commande Souvenirs, librairie'!F80</f>
        <v>7.02</v>
      </c>
      <c r="M11" s="662">
        <f t="shared" si="12"/>
        <v>2.9800000000000004</v>
      </c>
      <c r="N11" s="663">
        <f t="shared" si="5"/>
        <v>0</v>
      </c>
      <c r="O11" s="1698">
        <f t="shared" si="6"/>
        <v>0</v>
      </c>
      <c r="P11" s="1699">
        <f t="shared" si="7"/>
        <v>0</v>
      </c>
      <c r="Q11" s="1700">
        <v>4</v>
      </c>
      <c r="R11" s="1700"/>
      <c r="S11" s="1693">
        <f t="shared" si="8"/>
        <v>4</v>
      </c>
    </row>
    <row r="12" spans="1:19" ht="20.25">
      <c r="A12" s="1685"/>
      <c r="B12" s="1694" t="s">
        <v>338</v>
      </c>
      <c r="C12" s="1695">
        <v>4.5</v>
      </c>
      <c r="D12" s="1696"/>
      <c r="E12" s="1628">
        <f t="shared" si="9"/>
        <v>0</v>
      </c>
      <c r="F12" s="525"/>
      <c r="G12" s="1628">
        <f t="shared" si="10"/>
        <v>0</v>
      </c>
      <c r="H12" s="525"/>
      <c r="I12" s="1628"/>
      <c r="J12" s="525"/>
      <c r="K12" s="1628">
        <f t="shared" si="3"/>
        <v>0</v>
      </c>
      <c r="L12" s="661"/>
      <c r="M12" s="662"/>
      <c r="N12" s="663"/>
      <c r="O12" s="1698"/>
      <c r="P12" s="1699">
        <f t="shared" si="7"/>
        <v>0</v>
      </c>
      <c r="Q12" s="1700">
        <v>17</v>
      </c>
      <c r="R12" s="1700"/>
      <c r="S12" s="1693">
        <f t="shared" si="8"/>
        <v>17</v>
      </c>
    </row>
    <row r="13" spans="1:19" ht="21.75">
      <c r="A13" s="1685"/>
      <c r="B13" s="1694" t="s">
        <v>1129</v>
      </c>
      <c r="C13" s="1695">
        <v>12.5</v>
      </c>
      <c r="D13" s="1696"/>
      <c r="E13" s="1628">
        <f t="shared" si="9"/>
        <v>0</v>
      </c>
      <c r="F13" s="525"/>
      <c r="G13" s="1628">
        <f t="shared" si="10"/>
        <v>0</v>
      </c>
      <c r="H13" s="525"/>
      <c r="I13" s="1628"/>
      <c r="J13" s="525"/>
      <c r="K13" s="1628">
        <f t="shared" si="3"/>
        <v>0</v>
      </c>
      <c r="L13" s="661">
        <v>10</v>
      </c>
      <c r="M13" s="662">
        <f aca="true" t="shared" si="13" ref="M13:M20">C13-L13</f>
        <v>2.5</v>
      </c>
      <c r="N13" s="663">
        <f aca="true" t="shared" si="14" ref="N13:N17">M13*P13</f>
        <v>0</v>
      </c>
      <c r="O13" s="1698">
        <f aca="true" t="shared" si="15" ref="O13:O16">K13+G13+E13+I13</f>
        <v>0</v>
      </c>
      <c r="P13" s="1699">
        <f t="shared" si="7"/>
        <v>0</v>
      </c>
      <c r="Q13" s="1700">
        <v>4</v>
      </c>
      <c r="R13" s="1700"/>
      <c r="S13" s="1693">
        <f t="shared" si="8"/>
        <v>4</v>
      </c>
    </row>
    <row r="14" spans="1:19" ht="21.75">
      <c r="A14" s="1685"/>
      <c r="B14" s="1705" t="s">
        <v>261</v>
      </c>
      <c r="C14" s="1706">
        <v>3.5</v>
      </c>
      <c r="D14" s="1707"/>
      <c r="E14" s="1640">
        <f t="shared" si="9"/>
        <v>0</v>
      </c>
      <c r="F14" s="1317"/>
      <c r="G14" s="1640">
        <f t="shared" si="10"/>
        <v>0</v>
      </c>
      <c r="H14" s="1317"/>
      <c r="I14" s="1640">
        <f aca="true" t="shared" si="16" ref="I14:I16">H14*C14</f>
        <v>0</v>
      </c>
      <c r="J14" s="1317"/>
      <c r="K14" s="1640">
        <f t="shared" si="3"/>
        <v>0</v>
      </c>
      <c r="L14" s="1708">
        <f>'[3]Commande Souvenirs, librairie'!F76</f>
        <v>2.52</v>
      </c>
      <c r="M14" s="1080">
        <f t="shared" si="13"/>
        <v>0.98</v>
      </c>
      <c r="N14" s="902">
        <f t="shared" si="14"/>
        <v>0</v>
      </c>
      <c r="O14" s="1709">
        <f t="shared" si="15"/>
        <v>0</v>
      </c>
      <c r="P14" s="1710">
        <f t="shared" si="7"/>
        <v>0</v>
      </c>
      <c r="Q14" s="1711">
        <v>5</v>
      </c>
      <c r="R14" s="1711"/>
      <c r="S14" s="1693">
        <f t="shared" si="8"/>
        <v>5</v>
      </c>
    </row>
    <row r="15" spans="1:19" ht="21.75">
      <c r="A15" s="1712" t="s">
        <v>372</v>
      </c>
      <c r="B15" s="1713" t="s">
        <v>1130</v>
      </c>
      <c r="C15" s="1714">
        <v>5.9</v>
      </c>
      <c r="D15" s="1715"/>
      <c r="E15" s="1624">
        <f t="shared" si="9"/>
        <v>0</v>
      </c>
      <c r="F15" s="1299"/>
      <c r="G15" s="1624">
        <f t="shared" si="10"/>
        <v>0</v>
      </c>
      <c r="H15" s="1299"/>
      <c r="I15" s="1624">
        <f t="shared" si="16"/>
        <v>0</v>
      </c>
      <c r="J15" s="1299"/>
      <c r="K15" s="1624">
        <f t="shared" si="3"/>
        <v>0</v>
      </c>
      <c r="L15" s="1716">
        <f>'[3]Commande Souvenirs, librairie'!F97</f>
        <v>3.54</v>
      </c>
      <c r="M15" s="751">
        <f t="shared" si="13"/>
        <v>2.3600000000000003</v>
      </c>
      <c r="N15" s="752">
        <f t="shared" si="14"/>
        <v>0</v>
      </c>
      <c r="O15" s="1717">
        <f t="shared" si="15"/>
        <v>0</v>
      </c>
      <c r="P15" s="1718">
        <f t="shared" si="7"/>
        <v>0</v>
      </c>
      <c r="Q15" s="1719">
        <v>4</v>
      </c>
      <c r="R15" s="1719"/>
      <c r="S15" s="1693">
        <f t="shared" si="8"/>
        <v>4</v>
      </c>
    </row>
    <row r="16" spans="1:19" ht="21.75" customHeight="1">
      <c r="A16" s="1685" t="s">
        <v>355</v>
      </c>
      <c r="B16" s="1686" t="s">
        <v>726</v>
      </c>
      <c r="C16" s="1687">
        <v>7</v>
      </c>
      <c r="D16" s="1688"/>
      <c r="E16" s="1636">
        <f t="shared" si="9"/>
        <v>0</v>
      </c>
      <c r="F16" s="1223"/>
      <c r="G16" s="1636">
        <f t="shared" si="10"/>
        <v>0</v>
      </c>
      <c r="H16" s="1223"/>
      <c r="I16" s="1636">
        <f t="shared" si="16"/>
        <v>0</v>
      </c>
      <c r="J16" s="1223"/>
      <c r="K16" s="1636">
        <f t="shared" si="3"/>
        <v>0</v>
      </c>
      <c r="L16" s="1720"/>
      <c r="M16" s="1206">
        <f t="shared" si="13"/>
        <v>7</v>
      </c>
      <c r="N16" s="1355">
        <f t="shared" si="14"/>
        <v>0</v>
      </c>
      <c r="O16" s="1690">
        <f t="shared" si="15"/>
        <v>0</v>
      </c>
      <c r="P16" s="1691">
        <f t="shared" si="7"/>
        <v>0</v>
      </c>
      <c r="Q16" s="1692">
        <v>4</v>
      </c>
      <c r="R16" s="1692"/>
      <c r="S16" s="1693">
        <f t="shared" si="8"/>
        <v>4</v>
      </c>
    </row>
    <row r="17" spans="1:19" ht="21.75">
      <c r="A17" s="1685"/>
      <c r="B17" s="1694" t="s">
        <v>1131</v>
      </c>
      <c r="C17" s="1695">
        <v>12</v>
      </c>
      <c r="D17" s="1696"/>
      <c r="E17" s="1628">
        <f t="shared" si="9"/>
        <v>0</v>
      </c>
      <c r="F17" s="525"/>
      <c r="G17" s="1628">
        <f t="shared" si="10"/>
        <v>0</v>
      </c>
      <c r="H17" s="525"/>
      <c r="I17" s="1628"/>
      <c r="J17" s="525"/>
      <c r="K17" s="1628">
        <f t="shared" si="3"/>
        <v>0</v>
      </c>
      <c r="L17" s="1697"/>
      <c r="M17" s="662">
        <f t="shared" si="13"/>
        <v>12</v>
      </c>
      <c r="N17" s="663">
        <f t="shared" si="14"/>
        <v>0</v>
      </c>
      <c r="O17" s="1698"/>
      <c r="P17" s="1699">
        <f t="shared" si="7"/>
        <v>0</v>
      </c>
      <c r="Q17" s="1700">
        <v>3</v>
      </c>
      <c r="R17" s="1700"/>
      <c r="S17" s="1693">
        <f t="shared" si="8"/>
        <v>3</v>
      </c>
    </row>
    <row r="18" spans="1:19" ht="21.75">
      <c r="A18" s="1685"/>
      <c r="B18" s="1694" t="s">
        <v>1132</v>
      </c>
      <c r="C18" s="1695">
        <v>18</v>
      </c>
      <c r="D18" s="1696"/>
      <c r="E18" s="1628">
        <f t="shared" si="9"/>
        <v>0</v>
      </c>
      <c r="F18" s="525"/>
      <c r="G18" s="1628">
        <f t="shared" si="10"/>
        <v>0</v>
      </c>
      <c r="H18" s="525"/>
      <c r="I18" s="1628"/>
      <c r="J18" s="525"/>
      <c r="K18" s="1628">
        <f t="shared" si="3"/>
        <v>0</v>
      </c>
      <c r="L18" s="1697"/>
      <c r="M18" s="662">
        <f t="shared" si="13"/>
        <v>18</v>
      </c>
      <c r="N18" s="663"/>
      <c r="O18" s="1698"/>
      <c r="P18" s="1699">
        <f t="shared" si="7"/>
        <v>0</v>
      </c>
      <c r="Q18" s="1700">
        <v>3</v>
      </c>
      <c r="R18" s="1700"/>
      <c r="S18" s="1693">
        <f t="shared" si="8"/>
        <v>3</v>
      </c>
    </row>
    <row r="19" spans="1:19" ht="21.75">
      <c r="A19" s="1685"/>
      <c r="B19" s="1694" t="s">
        <v>1080</v>
      </c>
      <c r="C19" s="1695">
        <v>12</v>
      </c>
      <c r="D19" s="1696"/>
      <c r="E19" s="1628">
        <f t="shared" si="9"/>
        <v>0</v>
      </c>
      <c r="F19" s="525"/>
      <c r="G19" s="1628">
        <f t="shared" si="10"/>
        <v>0</v>
      </c>
      <c r="H19" s="525"/>
      <c r="I19" s="1628">
        <f aca="true" t="shared" si="17" ref="I19:I27">H19*C19</f>
        <v>0</v>
      </c>
      <c r="J19" s="525"/>
      <c r="K19" s="1628">
        <f t="shared" si="3"/>
        <v>0</v>
      </c>
      <c r="L19" s="1697">
        <f>'[3]Commande Souvenirs, librairie'!F86</f>
        <v>8.04</v>
      </c>
      <c r="M19" s="662">
        <f t="shared" si="13"/>
        <v>3.960000000000001</v>
      </c>
      <c r="N19" s="663">
        <f aca="true" t="shared" si="18" ref="N19:N20">M19*P19</f>
        <v>0</v>
      </c>
      <c r="O19" s="1698">
        <f aca="true" t="shared" si="19" ref="O19:O86">K19+G19+E19+I19</f>
        <v>0</v>
      </c>
      <c r="P19" s="1699">
        <f t="shared" si="7"/>
        <v>0</v>
      </c>
      <c r="Q19" s="1700">
        <v>5</v>
      </c>
      <c r="R19" s="1700"/>
      <c r="S19" s="1693">
        <f t="shared" si="8"/>
        <v>5</v>
      </c>
    </row>
    <row r="20" spans="1:19" ht="21.75">
      <c r="A20" s="1685"/>
      <c r="B20" s="1705" t="s">
        <v>1133</v>
      </c>
      <c r="C20" s="1706">
        <v>15</v>
      </c>
      <c r="D20" s="1707"/>
      <c r="E20" s="1640">
        <f t="shared" si="9"/>
        <v>0</v>
      </c>
      <c r="F20" s="1317"/>
      <c r="G20" s="1640">
        <f t="shared" si="10"/>
        <v>0</v>
      </c>
      <c r="H20" s="1317"/>
      <c r="I20" s="1640">
        <f t="shared" si="17"/>
        <v>0</v>
      </c>
      <c r="J20" s="1317"/>
      <c r="K20" s="1640">
        <f t="shared" si="3"/>
        <v>0</v>
      </c>
      <c r="L20" s="1708">
        <f>'[3]Commande Souvenirs, librairie'!F98</f>
        <v>7</v>
      </c>
      <c r="M20" s="1080">
        <f t="shared" si="13"/>
        <v>8</v>
      </c>
      <c r="N20" s="902">
        <f t="shared" si="18"/>
        <v>0</v>
      </c>
      <c r="O20" s="1709">
        <f t="shared" si="19"/>
        <v>0</v>
      </c>
      <c r="P20" s="1710">
        <f t="shared" si="7"/>
        <v>0</v>
      </c>
      <c r="Q20" s="1711">
        <v>5</v>
      </c>
      <c r="R20" s="1711"/>
      <c r="S20" s="1693">
        <f t="shared" si="8"/>
        <v>5</v>
      </c>
    </row>
    <row r="21" spans="1:19" ht="28.5">
      <c r="A21" s="1721" t="s">
        <v>1086</v>
      </c>
      <c r="B21" s="1722" t="s">
        <v>1134</v>
      </c>
      <c r="C21" s="1687">
        <v>7</v>
      </c>
      <c r="D21" s="1688"/>
      <c r="E21" s="1636">
        <f t="shared" si="9"/>
        <v>0</v>
      </c>
      <c r="F21" s="1223"/>
      <c r="G21" s="1636">
        <f t="shared" si="10"/>
        <v>0</v>
      </c>
      <c r="H21" s="1223"/>
      <c r="I21" s="1636">
        <f t="shared" si="17"/>
        <v>0</v>
      </c>
      <c r="J21" s="1223"/>
      <c r="K21" s="1636">
        <f t="shared" si="3"/>
        <v>0</v>
      </c>
      <c r="L21" s="1720"/>
      <c r="M21" s="1206"/>
      <c r="N21" s="1355"/>
      <c r="O21" s="1690">
        <f t="shared" si="19"/>
        <v>0</v>
      </c>
      <c r="P21" s="1691">
        <f t="shared" si="7"/>
        <v>0</v>
      </c>
      <c r="Q21" s="1692">
        <v>5</v>
      </c>
      <c r="R21" s="1692"/>
      <c r="S21" s="1693">
        <f t="shared" si="8"/>
        <v>5</v>
      </c>
    </row>
    <row r="22" spans="1:19" ht="20.25">
      <c r="A22" s="1721"/>
      <c r="B22" s="1705" t="s">
        <v>1135</v>
      </c>
      <c r="C22" s="1706">
        <v>4.9</v>
      </c>
      <c r="D22" s="1707"/>
      <c r="E22" s="1640">
        <f t="shared" si="9"/>
        <v>0</v>
      </c>
      <c r="F22" s="1317"/>
      <c r="G22" s="1640">
        <f t="shared" si="10"/>
        <v>0</v>
      </c>
      <c r="H22" s="1317"/>
      <c r="I22" s="1640">
        <f t="shared" si="17"/>
        <v>0</v>
      </c>
      <c r="J22" s="1317"/>
      <c r="K22" s="1640">
        <f t="shared" si="3"/>
        <v>0</v>
      </c>
      <c r="L22" s="1708">
        <f>'[3]Commande Souvenirs, librairie'!F36</f>
        <v>3.42</v>
      </c>
      <c r="M22" s="1080">
        <f>C22-L22</f>
        <v>1.4800000000000004</v>
      </c>
      <c r="N22" s="902">
        <f>M22*P22</f>
        <v>0</v>
      </c>
      <c r="O22" s="1709">
        <f t="shared" si="19"/>
        <v>0</v>
      </c>
      <c r="P22" s="1710">
        <f t="shared" si="7"/>
        <v>0</v>
      </c>
      <c r="Q22" s="1711">
        <v>9</v>
      </c>
      <c r="R22" s="1711"/>
      <c r="S22" s="1693">
        <f t="shared" si="8"/>
        <v>9</v>
      </c>
    </row>
    <row r="23" spans="1:19" ht="20.25">
      <c r="A23" s="1721" t="s">
        <v>1136</v>
      </c>
      <c r="B23" s="1723" t="s">
        <v>529</v>
      </c>
      <c r="C23" s="1724">
        <v>10</v>
      </c>
      <c r="D23" s="1725"/>
      <c r="E23" s="1726">
        <f t="shared" si="9"/>
        <v>0</v>
      </c>
      <c r="F23" s="1468"/>
      <c r="G23" s="1726">
        <f t="shared" si="10"/>
        <v>0</v>
      </c>
      <c r="H23" s="1468"/>
      <c r="I23" s="1726">
        <f t="shared" si="17"/>
        <v>0</v>
      </c>
      <c r="J23" s="1468"/>
      <c r="K23" s="1726">
        <f t="shared" si="3"/>
        <v>0</v>
      </c>
      <c r="L23" s="1727"/>
      <c r="M23" s="1265"/>
      <c r="N23" s="1464"/>
      <c r="O23" s="1717">
        <f t="shared" si="19"/>
        <v>0</v>
      </c>
      <c r="P23" s="1718">
        <f t="shared" si="7"/>
        <v>0</v>
      </c>
      <c r="Q23" s="1719">
        <v>2</v>
      </c>
      <c r="R23" s="1719">
        <v>1</v>
      </c>
      <c r="S23" s="1693">
        <f t="shared" si="8"/>
        <v>3</v>
      </c>
    </row>
    <row r="24" spans="1:19" ht="20.25">
      <c r="A24" s="1721"/>
      <c r="B24" s="1723" t="s">
        <v>528</v>
      </c>
      <c r="C24" s="1724">
        <v>10</v>
      </c>
      <c r="D24" s="1725"/>
      <c r="E24" s="1726">
        <f t="shared" si="9"/>
        <v>0</v>
      </c>
      <c r="F24" s="1468"/>
      <c r="G24" s="1726">
        <f t="shared" si="10"/>
        <v>0</v>
      </c>
      <c r="H24" s="1468"/>
      <c r="I24" s="1726">
        <f t="shared" si="17"/>
        <v>0</v>
      </c>
      <c r="J24" s="1468"/>
      <c r="K24" s="1726">
        <f t="shared" si="3"/>
        <v>0</v>
      </c>
      <c r="L24" s="1727"/>
      <c r="M24" s="1265"/>
      <c r="N24" s="1464"/>
      <c r="O24" s="1717">
        <f t="shared" si="19"/>
        <v>0</v>
      </c>
      <c r="P24" s="1718">
        <f t="shared" si="7"/>
        <v>0</v>
      </c>
      <c r="Q24" s="1719">
        <v>2</v>
      </c>
      <c r="R24" s="1719">
        <v>2</v>
      </c>
      <c r="S24" s="1693">
        <f t="shared" si="8"/>
        <v>4</v>
      </c>
    </row>
    <row r="25" spans="1:19" ht="20.25">
      <c r="A25" s="1721"/>
      <c r="B25" s="1723" t="s">
        <v>93</v>
      </c>
      <c r="C25" s="1724">
        <v>6</v>
      </c>
      <c r="D25" s="1725"/>
      <c r="E25" s="1726">
        <f t="shared" si="9"/>
        <v>0</v>
      </c>
      <c r="F25" s="1468"/>
      <c r="G25" s="1726">
        <f t="shared" si="10"/>
        <v>0</v>
      </c>
      <c r="H25" s="1468"/>
      <c r="I25" s="1726">
        <f t="shared" si="17"/>
        <v>0</v>
      </c>
      <c r="J25" s="1468"/>
      <c r="K25" s="1726">
        <f t="shared" si="3"/>
        <v>0</v>
      </c>
      <c r="L25" s="1727">
        <f>'[3]Commande Alimentaire'!E38</f>
        <v>4.8</v>
      </c>
      <c r="M25" s="1265">
        <f aca="true" t="shared" si="20" ref="M25:M30">C25-L25</f>
        <v>1.2000000000000002</v>
      </c>
      <c r="N25" s="1464">
        <f aca="true" t="shared" si="21" ref="N25:N30">M25*P25</f>
        <v>0</v>
      </c>
      <c r="O25" s="1717">
        <f t="shared" si="19"/>
        <v>0</v>
      </c>
      <c r="P25" s="1718">
        <f t="shared" si="7"/>
        <v>0</v>
      </c>
      <c r="Q25" s="1719">
        <v>6</v>
      </c>
      <c r="R25" s="1719"/>
      <c r="S25" s="1693">
        <f t="shared" si="8"/>
        <v>6</v>
      </c>
    </row>
    <row r="26" spans="1:19" ht="21.75" hidden="1">
      <c r="A26" s="1728" t="s">
        <v>575</v>
      </c>
      <c r="B26" s="1729" t="s">
        <v>1137</v>
      </c>
      <c r="C26" s="1695">
        <v>16.5</v>
      </c>
      <c r="D26" s="657"/>
      <c r="E26" s="1628">
        <f t="shared" si="9"/>
        <v>0</v>
      </c>
      <c r="F26" s="525"/>
      <c r="G26" s="1628">
        <f t="shared" si="10"/>
        <v>0</v>
      </c>
      <c r="H26" s="525"/>
      <c r="I26" s="1628">
        <f t="shared" si="17"/>
        <v>0</v>
      </c>
      <c r="J26" s="525"/>
      <c r="K26" s="1628">
        <f t="shared" si="3"/>
        <v>0</v>
      </c>
      <c r="L26" s="1697">
        <f>'[3]Commande Souvenirs, librairie'!F109</f>
        <v>12.2</v>
      </c>
      <c r="M26" s="662">
        <f t="shared" si="20"/>
        <v>4.300000000000001</v>
      </c>
      <c r="N26" s="663">
        <f t="shared" si="21"/>
        <v>0</v>
      </c>
      <c r="O26" s="1698">
        <f t="shared" si="19"/>
        <v>0</v>
      </c>
      <c r="P26" s="1718">
        <f t="shared" si="7"/>
        <v>0</v>
      </c>
      <c r="Q26" s="1719"/>
      <c r="R26" s="1719"/>
      <c r="S26" s="1693">
        <f t="shared" si="8"/>
        <v>0</v>
      </c>
    </row>
    <row r="27" spans="1:19" ht="21.75" hidden="1">
      <c r="A27" s="1728"/>
      <c r="B27" s="1729" t="s">
        <v>1138</v>
      </c>
      <c r="C27" s="1695">
        <v>14</v>
      </c>
      <c r="D27" s="657"/>
      <c r="E27" s="1628">
        <f t="shared" si="9"/>
        <v>0</v>
      </c>
      <c r="F27" s="525"/>
      <c r="G27" s="1628">
        <f t="shared" si="10"/>
        <v>0</v>
      </c>
      <c r="H27" s="525"/>
      <c r="I27" s="1628">
        <f t="shared" si="17"/>
        <v>0</v>
      </c>
      <c r="J27" s="525"/>
      <c r="K27" s="1628">
        <f t="shared" si="3"/>
        <v>0</v>
      </c>
      <c r="L27" s="1697">
        <f>'[3]Commande Souvenirs, librairie'!F110</f>
        <v>10.23</v>
      </c>
      <c r="M27" s="662">
        <f t="shared" si="20"/>
        <v>3.7699999999999996</v>
      </c>
      <c r="N27" s="663">
        <f t="shared" si="21"/>
        <v>0</v>
      </c>
      <c r="O27" s="1698">
        <f t="shared" si="19"/>
        <v>0</v>
      </c>
      <c r="P27" s="1718">
        <f t="shared" si="7"/>
        <v>0</v>
      </c>
      <c r="Q27" s="1719"/>
      <c r="R27" s="1719"/>
      <c r="S27" s="1693">
        <f t="shared" si="8"/>
        <v>0</v>
      </c>
    </row>
    <row r="28" spans="1:19" ht="21.75" hidden="1">
      <c r="A28" s="1728"/>
      <c r="B28" s="1729" t="s">
        <v>758</v>
      </c>
      <c r="C28" s="1695">
        <v>4.9</v>
      </c>
      <c r="D28" s="657"/>
      <c r="E28" s="1628">
        <f t="shared" si="9"/>
        <v>0</v>
      </c>
      <c r="F28" s="525"/>
      <c r="G28" s="1628"/>
      <c r="H28" s="525"/>
      <c r="I28" s="1628"/>
      <c r="J28" s="525"/>
      <c r="K28" s="1628">
        <f t="shared" si="3"/>
        <v>0</v>
      </c>
      <c r="L28" s="1697">
        <f>'Ventes St Sever'!AG199</f>
        <v>1.7800000000000002</v>
      </c>
      <c r="M28" s="662">
        <f t="shared" si="20"/>
        <v>3.12</v>
      </c>
      <c r="N28" s="663">
        <f t="shared" si="21"/>
        <v>0</v>
      </c>
      <c r="O28" s="1698">
        <f t="shared" si="19"/>
        <v>0</v>
      </c>
      <c r="P28" s="1718">
        <f t="shared" si="7"/>
        <v>0</v>
      </c>
      <c r="Q28" s="1719"/>
      <c r="R28" s="1719"/>
      <c r="S28" s="1693">
        <f t="shared" si="8"/>
        <v>0</v>
      </c>
    </row>
    <row r="29" spans="1:19" ht="21.75" hidden="1">
      <c r="A29" s="1728"/>
      <c r="B29" s="1729" t="s">
        <v>753</v>
      </c>
      <c r="C29" s="1695">
        <v>19.3</v>
      </c>
      <c r="D29" s="657"/>
      <c r="E29" s="1628">
        <f t="shared" si="9"/>
        <v>0</v>
      </c>
      <c r="F29" s="525"/>
      <c r="G29" s="1628">
        <f aca="true" t="shared" si="22" ref="G29:G85">F29*C29</f>
        <v>0</v>
      </c>
      <c r="H29" s="525"/>
      <c r="I29" s="1628">
        <f aca="true" t="shared" si="23" ref="I29:I85">H29*C29</f>
        <v>0</v>
      </c>
      <c r="J29" s="525"/>
      <c r="K29" s="1628">
        <f t="shared" si="3"/>
        <v>0</v>
      </c>
      <c r="L29" s="1697">
        <f>'[3]Commande Souvenirs, librairie'!F108</f>
        <v>15.4</v>
      </c>
      <c r="M29" s="662">
        <f t="shared" si="20"/>
        <v>3.9000000000000004</v>
      </c>
      <c r="N29" s="663">
        <f t="shared" si="21"/>
        <v>0</v>
      </c>
      <c r="O29" s="1698">
        <f t="shared" si="19"/>
        <v>0</v>
      </c>
      <c r="P29" s="1718">
        <f t="shared" si="7"/>
        <v>0</v>
      </c>
      <c r="Q29" s="1719"/>
      <c r="R29" s="1719"/>
      <c r="S29" s="1693">
        <f t="shared" si="8"/>
        <v>0</v>
      </c>
    </row>
    <row r="30" spans="1:19" ht="21.75" hidden="1">
      <c r="A30" s="1728"/>
      <c r="B30" s="1729" t="s">
        <v>1139</v>
      </c>
      <c r="C30" s="1695">
        <v>4.2</v>
      </c>
      <c r="D30" s="657"/>
      <c r="E30" s="1628">
        <f t="shared" si="9"/>
        <v>0</v>
      </c>
      <c r="F30" s="525"/>
      <c r="G30" s="1628">
        <f t="shared" si="22"/>
        <v>0</v>
      </c>
      <c r="H30" s="525"/>
      <c r="I30" s="1628">
        <f t="shared" si="23"/>
        <v>0</v>
      </c>
      <c r="J30" s="525"/>
      <c r="K30" s="1628">
        <f t="shared" si="3"/>
        <v>0</v>
      </c>
      <c r="L30" s="1697">
        <f>'[3]Commande Souvenirs, librairie'!F113</f>
        <v>3.24</v>
      </c>
      <c r="M30" s="662">
        <f t="shared" si="20"/>
        <v>0.96</v>
      </c>
      <c r="N30" s="663">
        <f t="shared" si="21"/>
        <v>0</v>
      </c>
      <c r="O30" s="1698">
        <f t="shared" si="19"/>
        <v>0</v>
      </c>
      <c r="P30" s="1718">
        <f t="shared" si="7"/>
        <v>0</v>
      </c>
      <c r="Q30" s="1719"/>
      <c r="R30" s="1719"/>
      <c r="S30" s="1693">
        <f t="shared" si="8"/>
        <v>0</v>
      </c>
    </row>
    <row r="31" spans="1:19" ht="21.75">
      <c r="A31" s="1728"/>
      <c r="B31" s="1730" t="s">
        <v>1140</v>
      </c>
      <c r="C31" s="1702">
        <v>16.5</v>
      </c>
      <c r="D31" s="1731"/>
      <c r="E31" s="1660">
        <f t="shared" si="9"/>
        <v>0</v>
      </c>
      <c r="F31" s="526"/>
      <c r="G31" s="1660">
        <f t="shared" si="22"/>
        <v>0</v>
      </c>
      <c r="H31" s="526"/>
      <c r="I31" s="1660">
        <f t="shared" si="23"/>
        <v>0</v>
      </c>
      <c r="J31" s="526"/>
      <c r="K31" s="1660">
        <f t="shared" si="3"/>
        <v>0</v>
      </c>
      <c r="L31" s="1704"/>
      <c r="M31" s="686"/>
      <c r="N31" s="687"/>
      <c r="O31" s="1709">
        <f t="shared" si="19"/>
        <v>0</v>
      </c>
      <c r="P31" s="1718">
        <f t="shared" si="7"/>
        <v>0</v>
      </c>
      <c r="Q31" s="1719">
        <v>4</v>
      </c>
      <c r="R31" s="1719"/>
      <c r="S31" s="1693">
        <f t="shared" si="8"/>
        <v>4</v>
      </c>
    </row>
    <row r="32" spans="1:20" ht="66.75">
      <c r="A32" s="1728"/>
      <c r="B32" s="1732" t="s">
        <v>409</v>
      </c>
      <c r="C32" s="1706">
        <v>4.2</v>
      </c>
      <c r="D32" s="1707"/>
      <c r="E32" s="1640">
        <f t="shared" si="9"/>
        <v>0</v>
      </c>
      <c r="F32" s="1317"/>
      <c r="G32" s="1640">
        <f t="shared" si="22"/>
        <v>0</v>
      </c>
      <c r="H32" s="1317"/>
      <c r="I32" s="1640">
        <f t="shared" si="23"/>
        <v>0</v>
      </c>
      <c r="J32" s="1317"/>
      <c r="K32" s="1640">
        <f t="shared" si="3"/>
        <v>0</v>
      </c>
      <c r="L32" s="1708">
        <f>'[3]Commande Souvenirs, librairie'!F114</f>
        <v>3.12</v>
      </c>
      <c r="M32" s="1080">
        <f aca="true" t="shared" si="24" ref="M32:M39">C32-L32</f>
        <v>1.08</v>
      </c>
      <c r="N32" s="902">
        <f aca="true" t="shared" si="25" ref="N32:N39">M32*P32</f>
        <v>0</v>
      </c>
      <c r="O32" s="1709">
        <f t="shared" si="19"/>
        <v>0</v>
      </c>
      <c r="P32" s="1710">
        <f t="shared" si="7"/>
        <v>0</v>
      </c>
      <c r="Q32" s="1711">
        <v>25</v>
      </c>
      <c r="R32" s="1711"/>
      <c r="S32" s="1693">
        <f t="shared" si="8"/>
        <v>25</v>
      </c>
      <c r="T32" s="1290" t="s">
        <v>1141</v>
      </c>
    </row>
    <row r="33" spans="1:19" ht="21.75" customHeight="1">
      <c r="A33" s="1685" t="s">
        <v>556</v>
      </c>
      <c r="B33" s="1733" t="s">
        <v>432</v>
      </c>
      <c r="C33" s="1687">
        <v>1</v>
      </c>
      <c r="D33" s="1203"/>
      <c r="E33" s="1636">
        <f t="shared" si="9"/>
        <v>0</v>
      </c>
      <c r="F33" s="1223"/>
      <c r="G33" s="1636">
        <f t="shared" si="22"/>
        <v>0</v>
      </c>
      <c r="H33" s="1223"/>
      <c r="I33" s="1636">
        <f t="shared" si="23"/>
        <v>0</v>
      </c>
      <c r="J33" s="1223"/>
      <c r="K33" s="1636">
        <f t="shared" si="3"/>
        <v>0</v>
      </c>
      <c r="L33" s="1689">
        <f>'[3]Commande Souvenirs, librairie'!F123</f>
        <v>0.13</v>
      </c>
      <c r="M33" s="1206">
        <f t="shared" si="24"/>
        <v>0.87</v>
      </c>
      <c r="N33" s="1355">
        <f t="shared" si="25"/>
        <v>0</v>
      </c>
      <c r="O33" s="1717">
        <f t="shared" si="19"/>
        <v>0</v>
      </c>
      <c r="P33" s="1718">
        <f t="shared" si="7"/>
        <v>0</v>
      </c>
      <c r="Q33" s="1719">
        <v>10</v>
      </c>
      <c r="R33" s="1719"/>
      <c r="S33" s="1693">
        <f t="shared" si="8"/>
        <v>10</v>
      </c>
    </row>
    <row r="34" spans="1:19" ht="21.75">
      <c r="A34" s="1685"/>
      <c r="B34" s="1734" t="s">
        <v>434</v>
      </c>
      <c r="C34" s="1695">
        <v>1</v>
      </c>
      <c r="D34" s="657"/>
      <c r="E34" s="1628">
        <f t="shared" si="9"/>
        <v>0</v>
      </c>
      <c r="F34" s="525"/>
      <c r="G34" s="1628">
        <f t="shared" si="22"/>
        <v>0</v>
      </c>
      <c r="H34" s="525"/>
      <c r="I34" s="1628">
        <f t="shared" si="23"/>
        <v>0</v>
      </c>
      <c r="J34" s="525"/>
      <c r="K34" s="1628">
        <f t="shared" si="3"/>
        <v>0</v>
      </c>
      <c r="L34" s="1697">
        <v>0.13</v>
      </c>
      <c r="M34" s="662">
        <f t="shared" si="24"/>
        <v>0.87</v>
      </c>
      <c r="N34" s="663">
        <f t="shared" si="25"/>
        <v>0</v>
      </c>
      <c r="O34" s="1717">
        <f t="shared" si="19"/>
        <v>0</v>
      </c>
      <c r="P34" s="1718">
        <f t="shared" si="7"/>
        <v>0</v>
      </c>
      <c r="Q34" s="1719">
        <v>10</v>
      </c>
      <c r="R34" s="1719"/>
      <c r="S34" s="1693">
        <f t="shared" si="8"/>
        <v>10</v>
      </c>
    </row>
    <row r="35" spans="1:19" ht="21.75">
      <c r="A35" s="1685"/>
      <c r="B35" s="1734" t="s">
        <v>153</v>
      </c>
      <c r="C35" s="1695">
        <v>1</v>
      </c>
      <c r="D35" s="657"/>
      <c r="E35" s="1628">
        <f t="shared" si="9"/>
        <v>0</v>
      </c>
      <c r="F35" s="525"/>
      <c r="G35" s="1628">
        <f t="shared" si="22"/>
        <v>0</v>
      </c>
      <c r="H35" s="525"/>
      <c r="I35" s="1628">
        <f t="shared" si="23"/>
        <v>0</v>
      </c>
      <c r="J35" s="525"/>
      <c r="K35" s="1628">
        <f t="shared" si="3"/>
        <v>0</v>
      </c>
      <c r="L35" s="1697">
        <v>0.13</v>
      </c>
      <c r="M35" s="662">
        <f t="shared" si="24"/>
        <v>0.87</v>
      </c>
      <c r="N35" s="663">
        <f t="shared" si="25"/>
        <v>0</v>
      </c>
      <c r="O35" s="1717">
        <f t="shared" si="19"/>
        <v>0</v>
      </c>
      <c r="P35" s="1718">
        <f t="shared" si="7"/>
        <v>0</v>
      </c>
      <c r="Q35" s="1719">
        <v>10</v>
      </c>
      <c r="R35" s="1719"/>
      <c r="S35" s="1693">
        <f t="shared" si="8"/>
        <v>10</v>
      </c>
    </row>
    <row r="36" spans="1:19" ht="21.75">
      <c r="A36" s="1685"/>
      <c r="B36" s="1734" t="s">
        <v>435</v>
      </c>
      <c r="C36" s="1695">
        <v>1</v>
      </c>
      <c r="D36" s="657"/>
      <c r="E36" s="1628">
        <f t="shared" si="9"/>
        <v>0</v>
      </c>
      <c r="F36" s="525"/>
      <c r="G36" s="1628">
        <f t="shared" si="22"/>
        <v>0</v>
      </c>
      <c r="H36" s="525"/>
      <c r="I36" s="1628">
        <f t="shared" si="23"/>
        <v>0</v>
      </c>
      <c r="J36" s="525"/>
      <c r="K36" s="1628">
        <f t="shared" si="3"/>
        <v>0</v>
      </c>
      <c r="L36" s="1697">
        <v>0.13</v>
      </c>
      <c r="M36" s="662">
        <f t="shared" si="24"/>
        <v>0.87</v>
      </c>
      <c r="N36" s="663">
        <f t="shared" si="25"/>
        <v>0</v>
      </c>
      <c r="O36" s="1717">
        <f t="shared" si="19"/>
        <v>0</v>
      </c>
      <c r="P36" s="1718">
        <f t="shared" si="7"/>
        <v>0</v>
      </c>
      <c r="Q36" s="1719">
        <v>40</v>
      </c>
      <c r="R36" s="1719"/>
      <c r="S36" s="1693">
        <f t="shared" si="8"/>
        <v>40</v>
      </c>
    </row>
    <row r="37" spans="1:19" ht="21.75">
      <c r="A37" s="1685"/>
      <c r="B37" s="1734" t="s">
        <v>437</v>
      </c>
      <c r="C37" s="1695">
        <v>1</v>
      </c>
      <c r="D37" s="657"/>
      <c r="E37" s="1628">
        <f t="shared" si="9"/>
        <v>0</v>
      </c>
      <c r="F37" s="525"/>
      <c r="G37" s="1628">
        <f t="shared" si="22"/>
        <v>0</v>
      </c>
      <c r="H37" s="525"/>
      <c r="I37" s="1628">
        <f t="shared" si="23"/>
        <v>0</v>
      </c>
      <c r="J37" s="525"/>
      <c r="K37" s="1628">
        <f t="shared" si="3"/>
        <v>0</v>
      </c>
      <c r="L37" s="1697">
        <v>0.13</v>
      </c>
      <c r="M37" s="662">
        <f t="shared" si="24"/>
        <v>0.87</v>
      </c>
      <c r="N37" s="663">
        <f t="shared" si="25"/>
        <v>0</v>
      </c>
      <c r="O37" s="1717">
        <f t="shared" si="19"/>
        <v>0</v>
      </c>
      <c r="P37" s="1718">
        <f t="shared" si="7"/>
        <v>0</v>
      </c>
      <c r="Q37" s="1719">
        <v>18</v>
      </c>
      <c r="R37" s="1719"/>
      <c r="S37" s="1693">
        <f t="shared" si="8"/>
        <v>18</v>
      </c>
    </row>
    <row r="38" spans="1:19" ht="21.75">
      <c r="A38" s="1685"/>
      <c r="B38" s="1734" t="s">
        <v>438</v>
      </c>
      <c r="C38" s="1695">
        <v>1</v>
      </c>
      <c r="D38" s="657"/>
      <c r="E38" s="1628">
        <f t="shared" si="9"/>
        <v>0</v>
      </c>
      <c r="F38" s="525"/>
      <c r="G38" s="1628">
        <f t="shared" si="22"/>
        <v>0</v>
      </c>
      <c r="H38" s="525"/>
      <c r="I38" s="1628">
        <f t="shared" si="23"/>
        <v>0</v>
      </c>
      <c r="J38" s="525"/>
      <c r="K38" s="1628">
        <f t="shared" si="3"/>
        <v>0</v>
      </c>
      <c r="L38" s="1697">
        <v>0.13</v>
      </c>
      <c r="M38" s="662">
        <f t="shared" si="24"/>
        <v>0.87</v>
      </c>
      <c r="N38" s="663">
        <f t="shared" si="25"/>
        <v>0</v>
      </c>
      <c r="O38" s="1717">
        <f t="shared" si="19"/>
        <v>0</v>
      </c>
      <c r="P38" s="1718">
        <f t="shared" si="7"/>
        <v>0</v>
      </c>
      <c r="Q38" s="1719">
        <v>39</v>
      </c>
      <c r="R38" s="1719"/>
      <c r="S38" s="1693">
        <f t="shared" si="8"/>
        <v>39</v>
      </c>
    </row>
    <row r="39" spans="1:19" ht="21.75">
      <c r="A39" s="1685"/>
      <c r="B39" s="1734" t="s">
        <v>439</v>
      </c>
      <c r="C39" s="1695">
        <v>1</v>
      </c>
      <c r="D39" s="657"/>
      <c r="E39" s="1628">
        <f t="shared" si="9"/>
        <v>0</v>
      </c>
      <c r="F39" s="525"/>
      <c r="G39" s="1628">
        <f t="shared" si="22"/>
        <v>0</v>
      </c>
      <c r="H39" s="525"/>
      <c r="I39" s="1628">
        <f t="shared" si="23"/>
        <v>0</v>
      </c>
      <c r="J39" s="525"/>
      <c r="K39" s="1628">
        <f t="shared" si="3"/>
        <v>0</v>
      </c>
      <c r="L39" s="1697">
        <v>0.13</v>
      </c>
      <c r="M39" s="662">
        <f t="shared" si="24"/>
        <v>0.87</v>
      </c>
      <c r="N39" s="663">
        <f t="shared" si="25"/>
        <v>0</v>
      </c>
      <c r="O39" s="1717">
        <f t="shared" si="19"/>
        <v>0</v>
      </c>
      <c r="P39" s="1718">
        <f t="shared" si="7"/>
        <v>0</v>
      </c>
      <c r="Q39" s="1719">
        <v>15</v>
      </c>
      <c r="R39" s="1719"/>
      <c r="S39" s="1693">
        <f t="shared" si="8"/>
        <v>15</v>
      </c>
    </row>
    <row r="40" spans="1:19" ht="21.75">
      <c r="A40" s="1685"/>
      <c r="B40" s="1735" t="s">
        <v>556</v>
      </c>
      <c r="C40" s="1706">
        <v>1</v>
      </c>
      <c r="D40" s="910"/>
      <c r="E40" s="1640">
        <f t="shared" si="9"/>
        <v>0</v>
      </c>
      <c r="F40" s="1317"/>
      <c r="G40" s="1640">
        <f t="shared" si="22"/>
        <v>0</v>
      </c>
      <c r="H40" s="1317"/>
      <c r="I40" s="1640">
        <f t="shared" si="23"/>
        <v>0</v>
      </c>
      <c r="J40" s="1317"/>
      <c r="K40" s="1640">
        <f t="shared" si="3"/>
        <v>0</v>
      </c>
      <c r="L40" s="1708"/>
      <c r="M40" s="1080"/>
      <c r="N40" s="902"/>
      <c r="O40" s="1717">
        <f t="shared" si="19"/>
        <v>0</v>
      </c>
      <c r="P40" s="1718">
        <f t="shared" si="7"/>
        <v>0</v>
      </c>
      <c r="Q40" s="1719">
        <v>20</v>
      </c>
      <c r="R40" s="1719"/>
      <c r="S40" s="1693">
        <f t="shared" si="8"/>
        <v>20</v>
      </c>
    </row>
    <row r="41" spans="1:19" ht="21.75">
      <c r="A41" s="1736" t="s">
        <v>40</v>
      </c>
      <c r="B41" s="1723" t="s">
        <v>1142</v>
      </c>
      <c r="C41" s="1724">
        <v>6.1</v>
      </c>
      <c r="D41" s="1737"/>
      <c r="E41" s="1632">
        <f t="shared" si="9"/>
        <v>0</v>
      </c>
      <c r="F41" s="1319"/>
      <c r="G41" s="1632">
        <f t="shared" si="22"/>
        <v>0</v>
      </c>
      <c r="H41" s="1319"/>
      <c r="I41" s="1632">
        <f t="shared" si="23"/>
        <v>0</v>
      </c>
      <c r="J41" s="1319"/>
      <c r="K41" s="1632">
        <f t="shared" si="3"/>
        <v>0</v>
      </c>
      <c r="L41" s="1738">
        <f>'[3]Commande Alimentaire'!E5</f>
        <v>4.46</v>
      </c>
      <c r="M41" s="1474">
        <f aca="true" t="shared" si="26" ref="M41:M43">C41-L41</f>
        <v>1.6399999999999997</v>
      </c>
      <c r="N41" s="899">
        <f aca="true" t="shared" si="27" ref="N41:N43">M41*P41</f>
        <v>0</v>
      </c>
      <c r="O41" s="1717">
        <f t="shared" si="19"/>
        <v>0</v>
      </c>
      <c r="P41" s="1718">
        <f t="shared" si="7"/>
        <v>0</v>
      </c>
      <c r="Q41" s="1719">
        <v>5</v>
      </c>
      <c r="R41" s="1719"/>
      <c r="S41" s="1693">
        <f t="shared" si="8"/>
        <v>5</v>
      </c>
    </row>
    <row r="42" spans="1:19" ht="21.75">
      <c r="A42" s="1736" t="s">
        <v>47</v>
      </c>
      <c r="B42" s="1723" t="s">
        <v>1143</v>
      </c>
      <c r="C42" s="1724">
        <v>6.9</v>
      </c>
      <c r="D42" s="1725"/>
      <c r="E42" s="1726">
        <f t="shared" si="9"/>
        <v>0</v>
      </c>
      <c r="F42" s="1468"/>
      <c r="G42" s="1726">
        <f t="shared" si="22"/>
        <v>0</v>
      </c>
      <c r="H42" s="1468"/>
      <c r="I42" s="1726">
        <f t="shared" si="23"/>
        <v>0</v>
      </c>
      <c r="J42" s="1468"/>
      <c r="K42" s="1726">
        <f t="shared" si="3"/>
        <v>0</v>
      </c>
      <c r="L42" s="1727">
        <v>5</v>
      </c>
      <c r="M42" s="1265">
        <f t="shared" si="26"/>
        <v>1.9000000000000004</v>
      </c>
      <c r="N42" s="1464">
        <f t="shared" si="27"/>
        <v>0</v>
      </c>
      <c r="O42" s="1717">
        <f t="shared" si="19"/>
        <v>0</v>
      </c>
      <c r="P42" s="1718">
        <f t="shared" si="7"/>
        <v>0</v>
      </c>
      <c r="Q42" s="1719">
        <v>5</v>
      </c>
      <c r="R42" s="1719"/>
      <c r="S42" s="1693">
        <f t="shared" si="8"/>
        <v>5</v>
      </c>
    </row>
    <row r="43" spans="1:19" ht="33">
      <c r="A43" s="1685" t="s">
        <v>1144</v>
      </c>
      <c r="B43" s="1723" t="s">
        <v>1145</v>
      </c>
      <c r="C43" s="1724">
        <v>7.5</v>
      </c>
      <c r="D43" s="1725"/>
      <c r="E43" s="1726">
        <f t="shared" si="9"/>
        <v>0</v>
      </c>
      <c r="F43" s="1468"/>
      <c r="G43" s="1726">
        <f t="shared" si="22"/>
        <v>0</v>
      </c>
      <c r="H43" s="1468"/>
      <c r="I43" s="1726">
        <f t="shared" si="23"/>
        <v>0</v>
      </c>
      <c r="J43" s="1468"/>
      <c r="K43" s="1726">
        <f t="shared" si="3"/>
        <v>0</v>
      </c>
      <c r="L43" s="1727">
        <f>'[3]Commande Alimentaire'!E44</f>
        <v>6</v>
      </c>
      <c r="M43" s="1265">
        <f t="shared" si="26"/>
        <v>1.5</v>
      </c>
      <c r="N43" s="1464">
        <f t="shared" si="27"/>
        <v>0</v>
      </c>
      <c r="O43" s="1717">
        <f t="shared" si="19"/>
        <v>0</v>
      </c>
      <c r="P43" s="1718">
        <f t="shared" si="7"/>
        <v>0</v>
      </c>
      <c r="Q43" s="1719">
        <v>6</v>
      </c>
      <c r="R43" s="1719"/>
      <c r="S43" s="1693">
        <f t="shared" si="8"/>
        <v>6</v>
      </c>
    </row>
    <row r="44" spans="1:19" ht="21.75">
      <c r="A44" s="1739"/>
      <c r="B44" s="1740" t="s">
        <v>548</v>
      </c>
      <c r="C44" s="1695">
        <v>29</v>
      </c>
      <c r="D44" s="657"/>
      <c r="E44" s="1628">
        <f t="shared" si="9"/>
        <v>0</v>
      </c>
      <c r="F44" s="525"/>
      <c r="G44" s="1628">
        <f t="shared" si="22"/>
        <v>0</v>
      </c>
      <c r="H44" s="525"/>
      <c r="I44" s="1628">
        <f t="shared" si="23"/>
        <v>0</v>
      </c>
      <c r="J44" s="525"/>
      <c r="K44" s="1628">
        <f t="shared" si="3"/>
        <v>0</v>
      </c>
      <c r="L44" s="1697"/>
      <c r="M44" s="662"/>
      <c r="N44" s="663"/>
      <c r="O44" s="1717">
        <f t="shared" si="19"/>
        <v>0</v>
      </c>
      <c r="P44" s="1718">
        <f t="shared" si="7"/>
        <v>0</v>
      </c>
      <c r="Q44" s="1719">
        <v>2</v>
      </c>
      <c r="R44" s="1719"/>
      <c r="S44" s="1693">
        <f t="shared" si="8"/>
        <v>2</v>
      </c>
    </row>
    <row r="45" spans="1:19" ht="21.75" customHeight="1">
      <c r="A45" s="1685" t="s">
        <v>1146</v>
      </c>
      <c r="B45" s="1741" t="s">
        <v>179</v>
      </c>
      <c r="C45" s="1742">
        <v>2</v>
      </c>
      <c r="D45" s="1067"/>
      <c r="E45" s="1619">
        <f t="shared" si="9"/>
        <v>0</v>
      </c>
      <c r="F45" s="1618"/>
      <c r="G45" s="1619">
        <f t="shared" si="22"/>
        <v>0</v>
      </c>
      <c r="H45" s="1618"/>
      <c r="I45" s="1619">
        <f t="shared" si="23"/>
        <v>0</v>
      </c>
      <c r="J45" s="1618"/>
      <c r="K45" s="1619">
        <f t="shared" si="3"/>
        <v>0</v>
      </c>
      <c r="L45" s="1743">
        <v>1.3</v>
      </c>
      <c r="M45" s="743">
        <f aca="true" t="shared" si="28" ref="M45:M60">C45-L45</f>
        <v>0.7</v>
      </c>
      <c r="N45" s="744">
        <f aca="true" t="shared" si="29" ref="N45:N60">M45*P45</f>
        <v>0</v>
      </c>
      <c r="O45" s="1717">
        <f t="shared" si="19"/>
        <v>0</v>
      </c>
      <c r="P45" s="1718">
        <f t="shared" si="7"/>
        <v>0</v>
      </c>
      <c r="Q45" s="1719"/>
      <c r="R45" s="1719"/>
      <c r="S45" s="1693">
        <f t="shared" si="8"/>
        <v>0</v>
      </c>
    </row>
    <row r="46" spans="1:19" ht="21.75" hidden="1">
      <c r="A46" s="1685"/>
      <c r="B46" s="1734" t="s">
        <v>181</v>
      </c>
      <c r="C46" s="1744">
        <v>2</v>
      </c>
      <c r="D46" s="657"/>
      <c r="E46" s="1628">
        <f t="shared" si="9"/>
        <v>0</v>
      </c>
      <c r="F46" s="525"/>
      <c r="G46" s="1628">
        <f t="shared" si="22"/>
        <v>0</v>
      </c>
      <c r="H46" s="525"/>
      <c r="I46" s="1628">
        <f t="shared" si="23"/>
        <v>0</v>
      </c>
      <c r="J46" s="525"/>
      <c r="K46" s="1628">
        <f t="shared" si="3"/>
        <v>0</v>
      </c>
      <c r="L46" s="1697">
        <v>1.3</v>
      </c>
      <c r="M46" s="662">
        <f t="shared" si="28"/>
        <v>0.7</v>
      </c>
      <c r="N46" s="663">
        <f t="shared" si="29"/>
        <v>0</v>
      </c>
      <c r="O46" s="1717">
        <f t="shared" si="19"/>
        <v>0</v>
      </c>
      <c r="P46" s="1718">
        <f t="shared" si="7"/>
        <v>0</v>
      </c>
      <c r="Q46" s="1719"/>
      <c r="R46" s="1719"/>
      <c r="S46" s="1693">
        <f t="shared" si="8"/>
        <v>0</v>
      </c>
    </row>
    <row r="47" spans="1:19" ht="21.75" hidden="1">
      <c r="A47" s="1685"/>
      <c r="B47" s="1734" t="s">
        <v>182</v>
      </c>
      <c r="C47" s="1744">
        <v>2</v>
      </c>
      <c r="D47" s="657"/>
      <c r="E47" s="1628">
        <f t="shared" si="9"/>
        <v>0</v>
      </c>
      <c r="F47" s="525"/>
      <c r="G47" s="1628">
        <f t="shared" si="22"/>
        <v>0</v>
      </c>
      <c r="H47" s="525"/>
      <c r="I47" s="1628">
        <f t="shared" si="23"/>
        <v>0</v>
      </c>
      <c r="J47" s="525"/>
      <c r="K47" s="1628">
        <f t="shared" si="3"/>
        <v>0</v>
      </c>
      <c r="L47" s="1697">
        <v>1.3</v>
      </c>
      <c r="M47" s="662">
        <f t="shared" si="28"/>
        <v>0.7</v>
      </c>
      <c r="N47" s="663">
        <f t="shared" si="29"/>
        <v>0</v>
      </c>
      <c r="O47" s="1717">
        <f t="shared" si="19"/>
        <v>0</v>
      </c>
      <c r="P47" s="1718">
        <f t="shared" si="7"/>
        <v>0</v>
      </c>
      <c r="Q47" s="1719"/>
      <c r="R47" s="1719"/>
      <c r="S47" s="1693">
        <f t="shared" si="8"/>
        <v>0</v>
      </c>
    </row>
    <row r="48" spans="1:19" ht="21.75" hidden="1">
      <c r="A48" s="1685"/>
      <c r="B48" s="1734" t="s">
        <v>183</v>
      </c>
      <c r="C48" s="1744">
        <v>2</v>
      </c>
      <c r="D48" s="657"/>
      <c r="E48" s="1628">
        <f t="shared" si="9"/>
        <v>0</v>
      </c>
      <c r="F48" s="525"/>
      <c r="G48" s="1628">
        <f t="shared" si="22"/>
        <v>0</v>
      </c>
      <c r="H48" s="525"/>
      <c r="I48" s="1628">
        <f t="shared" si="23"/>
        <v>0</v>
      </c>
      <c r="J48" s="525"/>
      <c r="K48" s="1628">
        <f t="shared" si="3"/>
        <v>0</v>
      </c>
      <c r="L48" s="1697">
        <v>1.3</v>
      </c>
      <c r="M48" s="662">
        <f t="shared" si="28"/>
        <v>0.7</v>
      </c>
      <c r="N48" s="663">
        <f t="shared" si="29"/>
        <v>0</v>
      </c>
      <c r="O48" s="1717">
        <f t="shared" si="19"/>
        <v>0</v>
      </c>
      <c r="P48" s="1718">
        <f t="shared" si="7"/>
        <v>0</v>
      </c>
      <c r="Q48" s="1719"/>
      <c r="R48" s="1719"/>
      <c r="S48" s="1693">
        <f t="shared" si="8"/>
        <v>0</v>
      </c>
    </row>
    <row r="49" spans="1:19" ht="21.75" hidden="1">
      <c r="A49" s="1685"/>
      <c r="B49" s="1734" t="s">
        <v>185</v>
      </c>
      <c r="C49" s="1744">
        <v>2</v>
      </c>
      <c r="D49" s="657"/>
      <c r="E49" s="1628">
        <f t="shared" si="9"/>
        <v>0</v>
      </c>
      <c r="F49" s="525"/>
      <c r="G49" s="1628">
        <f t="shared" si="22"/>
        <v>0</v>
      </c>
      <c r="H49" s="525"/>
      <c r="I49" s="1628">
        <f t="shared" si="23"/>
        <v>0</v>
      </c>
      <c r="J49" s="525"/>
      <c r="K49" s="1628">
        <f t="shared" si="3"/>
        <v>0</v>
      </c>
      <c r="L49" s="1697">
        <v>1.3</v>
      </c>
      <c r="M49" s="662">
        <f t="shared" si="28"/>
        <v>0.7</v>
      </c>
      <c r="N49" s="663">
        <f t="shared" si="29"/>
        <v>0</v>
      </c>
      <c r="O49" s="1717">
        <f t="shared" si="19"/>
        <v>0</v>
      </c>
      <c r="P49" s="1718">
        <f t="shared" si="7"/>
        <v>0</v>
      </c>
      <c r="Q49" s="1719"/>
      <c r="R49" s="1719"/>
      <c r="S49" s="1693">
        <f t="shared" si="8"/>
        <v>0</v>
      </c>
    </row>
    <row r="50" spans="1:19" ht="21.75" hidden="1">
      <c r="A50" s="1685"/>
      <c r="B50" s="1734" t="s">
        <v>186</v>
      </c>
      <c r="C50" s="1744">
        <v>2</v>
      </c>
      <c r="D50" s="657"/>
      <c r="E50" s="1628">
        <f t="shared" si="9"/>
        <v>0</v>
      </c>
      <c r="F50" s="525"/>
      <c r="G50" s="1628">
        <f t="shared" si="22"/>
        <v>0</v>
      </c>
      <c r="H50" s="525"/>
      <c r="I50" s="1628">
        <f t="shared" si="23"/>
        <v>0</v>
      </c>
      <c r="J50" s="525"/>
      <c r="K50" s="1628">
        <f t="shared" si="3"/>
        <v>0</v>
      </c>
      <c r="L50" s="1697">
        <v>1.3</v>
      </c>
      <c r="M50" s="662">
        <f t="shared" si="28"/>
        <v>0.7</v>
      </c>
      <c r="N50" s="663">
        <f t="shared" si="29"/>
        <v>0</v>
      </c>
      <c r="O50" s="1717">
        <f t="shared" si="19"/>
        <v>0</v>
      </c>
      <c r="P50" s="1718">
        <f t="shared" si="7"/>
        <v>0</v>
      </c>
      <c r="Q50" s="1719"/>
      <c r="R50" s="1719"/>
      <c r="S50" s="1693">
        <f t="shared" si="8"/>
        <v>0</v>
      </c>
    </row>
    <row r="51" spans="1:19" ht="21.75" hidden="1">
      <c r="A51" s="1685"/>
      <c r="B51" s="1734" t="s">
        <v>563</v>
      </c>
      <c r="C51" s="1744">
        <v>2</v>
      </c>
      <c r="D51" s="657"/>
      <c r="E51" s="1628">
        <f t="shared" si="9"/>
        <v>0</v>
      </c>
      <c r="F51" s="525"/>
      <c r="G51" s="1628">
        <f t="shared" si="22"/>
        <v>0</v>
      </c>
      <c r="H51" s="525"/>
      <c r="I51" s="1628">
        <f t="shared" si="23"/>
        <v>0</v>
      </c>
      <c r="J51" s="525"/>
      <c r="K51" s="1628">
        <f t="shared" si="3"/>
        <v>0</v>
      </c>
      <c r="L51" s="1697">
        <v>1.3</v>
      </c>
      <c r="M51" s="662">
        <f t="shared" si="28"/>
        <v>0.7</v>
      </c>
      <c r="N51" s="663">
        <f t="shared" si="29"/>
        <v>0</v>
      </c>
      <c r="O51" s="1717">
        <f t="shared" si="19"/>
        <v>0</v>
      </c>
      <c r="P51" s="1718">
        <f t="shared" si="7"/>
        <v>0</v>
      </c>
      <c r="Q51" s="1719"/>
      <c r="R51" s="1719"/>
      <c r="S51" s="1693">
        <f t="shared" si="8"/>
        <v>0</v>
      </c>
    </row>
    <row r="52" spans="1:19" ht="21.75" hidden="1">
      <c r="A52" s="1685"/>
      <c r="B52" s="1734" t="s">
        <v>716</v>
      </c>
      <c r="C52" s="1744">
        <v>2</v>
      </c>
      <c r="D52" s="657"/>
      <c r="E52" s="1628">
        <f t="shared" si="9"/>
        <v>0</v>
      </c>
      <c r="F52" s="525"/>
      <c r="G52" s="1628">
        <f t="shared" si="22"/>
        <v>0</v>
      </c>
      <c r="H52" s="525"/>
      <c r="I52" s="1628">
        <f t="shared" si="23"/>
        <v>0</v>
      </c>
      <c r="J52" s="525"/>
      <c r="K52" s="1628">
        <f t="shared" si="3"/>
        <v>0</v>
      </c>
      <c r="L52" s="1697">
        <v>1.3</v>
      </c>
      <c r="M52" s="662">
        <f t="shared" si="28"/>
        <v>0.7</v>
      </c>
      <c r="N52" s="663">
        <f t="shared" si="29"/>
        <v>0</v>
      </c>
      <c r="O52" s="1717">
        <f t="shared" si="19"/>
        <v>0</v>
      </c>
      <c r="P52" s="1718">
        <f t="shared" si="7"/>
        <v>0</v>
      </c>
      <c r="Q52" s="1719"/>
      <c r="R52" s="1719"/>
      <c r="S52" s="1693">
        <f t="shared" si="8"/>
        <v>0</v>
      </c>
    </row>
    <row r="53" spans="1:19" ht="21.75" hidden="1">
      <c r="A53" s="1685"/>
      <c r="B53" s="1734" t="s">
        <v>564</v>
      </c>
      <c r="C53" s="1744">
        <v>2</v>
      </c>
      <c r="D53" s="657"/>
      <c r="E53" s="1628">
        <f t="shared" si="9"/>
        <v>0</v>
      </c>
      <c r="F53" s="525"/>
      <c r="G53" s="1628">
        <f t="shared" si="22"/>
        <v>0</v>
      </c>
      <c r="H53" s="525"/>
      <c r="I53" s="1628">
        <f t="shared" si="23"/>
        <v>0</v>
      </c>
      <c r="J53" s="525"/>
      <c r="K53" s="1628">
        <f t="shared" si="3"/>
        <v>0</v>
      </c>
      <c r="L53" s="1697">
        <v>1.3</v>
      </c>
      <c r="M53" s="662">
        <f t="shared" si="28"/>
        <v>0.7</v>
      </c>
      <c r="N53" s="663">
        <f t="shared" si="29"/>
        <v>0</v>
      </c>
      <c r="O53" s="1717">
        <f t="shared" si="19"/>
        <v>0</v>
      </c>
      <c r="P53" s="1718">
        <f t="shared" si="7"/>
        <v>0</v>
      </c>
      <c r="Q53" s="1719"/>
      <c r="R53" s="1719"/>
      <c r="S53" s="1693">
        <f t="shared" si="8"/>
        <v>0</v>
      </c>
    </row>
    <row r="54" spans="1:19" ht="21.75" hidden="1">
      <c r="A54" s="1685"/>
      <c r="B54" s="1734" t="s">
        <v>194</v>
      </c>
      <c r="C54" s="1744">
        <v>2</v>
      </c>
      <c r="D54" s="657"/>
      <c r="E54" s="1628">
        <f t="shared" si="9"/>
        <v>0</v>
      </c>
      <c r="F54" s="525"/>
      <c r="G54" s="1628">
        <f t="shared" si="22"/>
        <v>0</v>
      </c>
      <c r="H54" s="525"/>
      <c r="I54" s="1628">
        <f t="shared" si="23"/>
        <v>0</v>
      </c>
      <c r="J54" s="525"/>
      <c r="K54" s="1628">
        <f t="shared" si="3"/>
        <v>0</v>
      </c>
      <c r="L54" s="1697">
        <v>1.3</v>
      </c>
      <c r="M54" s="662">
        <f t="shared" si="28"/>
        <v>0.7</v>
      </c>
      <c r="N54" s="663">
        <f t="shared" si="29"/>
        <v>0</v>
      </c>
      <c r="O54" s="1717">
        <f t="shared" si="19"/>
        <v>0</v>
      </c>
      <c r="P54" s="1718">
        <f t="shared" si="7"/>
        <v>0</v>
      </c>
      <c r="Q54" s="1719"/>
      <c r="R54" s="1719"/>
      <c r="S54" s="1693">
        <f t="shared" si="8"/>
        <v>0</v>
      </c>
    </row>
    <row r="55" spans="1:19" ht="21.75" hidden="1">
      <c r="A55" s="1685"/>
      <c r="B55" s="1734" t="s">
        <v>195</v>
      </c>
      <c r="C55" s="1744">
        <v>2</v>
      </c>
      <c r="D55" s="657"/>
      <c r="E55" s="1628">
        <f t="shared" si="9"/>
        <v>0</v>
      </c>
      <c r="F55" s="525"/>
      <c r="G55" s="1628">
        <f t="shared" si="22"/>
        <v>0</v>
      </c>
      <c r="H55" s="525"/>
      <c r="I55" s="1628">
        <f t="shared" si="23"/>
        <v>0</v>
      </c>
      <c r="J55" s="525"/>
      <c r="K55" s="1628">
        <f t="shared" si="3"/>
        <v>0</v>
      </c>
      <c r="L55" s="1697">
        <v>1.3</v>
      </c>
      <c r="M55" s="662">
        <f t="shared" si="28"/>
        <v>0.7</v>
      </c>
      <c r="N55" s="663">
        <f t="shared" si="29"/>
        <v>0</v>
      </c>
      <c r="O55" s="1717">
        <f t="shared" si="19"/>
        <v>0</v>
      </c>
      <c r="P55" s="1718">
        <f t="shared" si="7"/>
        <v>0</v>
      </c>
      <c r="Q55" s="1719"/>
      <c r="R55" s="1719"/>
      <c r="S55" s="1693">
        <f t="shared" si="8"/>
        <v>0</v>
      </c>
    </row>
    <row r="56" spans="1:19" ht="21.75" hidden="1">
      <c r="A56" s="1685"/>
      <c r="B56" s="1745" t="s">
        <v>717</v>
      </c>
      <c r="C56" s="1744">
        <v>2</v>
      </c>
      <c r="D56" s="657"/>
      <c r="E56" s="1628">
        <f t="shared" si="9"/>
        <v>0</v>
      </c>
      <c r="F56" s="525"/>
      <c r="G56" s="1628">
        <f t="shared" si="22"/>
        <v>0</v>
      </c>
      <c r="H56" s="525"/>
      <c r="I56" s="1628">
        <f t="shared" si="23"/>
        <v>0</v>
      </c>
      <c r="J56" s="525"/>
      <c r="K56" s="1628">
        <f t="shared" si="3"/>
        <v>0</v>
      </c>
      <c r="L56" s="1697">
        <v>1.3</v>
      </c>
      <c r="M56" s="662">
        <f t="shared" si="28"/>
        <v>0.7</v>
      </c>
      <c r="N56" s="663">
        <f t="shared" si="29"/>
        <v>0</v>
      </c>
      <c r="O56" s="1717">
        <f t="shared" si="19"/>
        <v>0</v>
      </c>
      <c r="P56" s="1718">
        <f t="shared" si="7"/>
        <v>0</v>
      </c>
      <c r="Q56" s="1719"/>
      <c r="R56" s="1719"/>
      <c r="S56" s="1693">
        <f t="shared" si="8"/>
        <v>0</v>
      </c>
    </row>
    <row r="57" spans="1:19" ht="21.75" hidden="1">
      <c r="A57" s="1685"/>
      <c r="B57" s="1734" t="s">
        <v>718</v>
      </c>
      <c r="C57" s="1744">
        <v>2</v>
      </c>
      <c r="D57" s="657"/>
      <c r="E57" s="1628">
        <f t="shared" si="9"/>
        <v>0</v>
      </c>
      <c r="F57" s="525"/>
      <c r="G57" s="1628">
        <f t="shared" si="22"/>
        <v>0</v>
      </c>
      <c r="H57" s="525"/>
      <c r="I57" s="1628">
        <f t="shared" si="23"/>
        <v>0</v>
      </c>
      <c r="J57" s="525"/>
      <c r="K57" s="1628">
        <f t="shared" si="3"/>
        <v>0</v>
      </c>
      <c r="L57" s="1697">
        <v>1.3</v>
      </c>
      <c r="M57" s="662">
        <f t="shared" si="28"/>
        <v>0.7</v>
      </c>
      <c r="N57" s="663">
        <f t="shared" si="29"/>
        <v>0</v>
      </c>
      <c r="O57" s="1717">
        <f t="shared" si="19"/>
        <v>0</v>
      </c>
      <c r="P57" s="1718">
        <f t="shared" si="7"/>
        <v>0</v>
      </c>
      <c r="Q57" s="1719"/>
      <c r="R57" s="1719"/>
      <c r="S57" s="1693">
        <f t="shared" si="8"/>
        <v>0</v>
      </c>
    </row>
    <row r="58" spans="1:19" ht="21.75" hidden="1">
      <c r="A58" s="1685"/>
      <c r="B58" s="68" t="s">
        <v>585</v>
      </c>
      <c r="C58" s="1744">
        <v>1</v>
      </c>
      <c r="D58" s="657"/>
      <c r="E58" s="1628">
        <f t="shared" si="9"/>
        <v>0</v>
      </c>
      <c r="F58" s="525"/>
      <c r="G58" s="1628">
        <f t="shared" si="22"/>
        <v>0</v>
      </c>
      <c r="H58" s="525"/>
      <c r="I58" s="1628">
        <f t="shared" si="23"/>
        <v>0</v>
      </c>
      <c r="J58" s="525"/>
      <c r="K58" s="1628">
        <f t="shared" si="3"/>
        <v>0</v>
      </c>
      <c r="L58" s="1697">
        <f>'[3]Commande Souvenirs, librairie'!F136</f>
        <v>0.3</v>
      </c>
      <c r="M58" s="662">
        <f t="shared" si="28"/>
        <v>0.7</v>
      </c>
      <c r="N58" s="663">
        <f t="shared" si="29"/>
        <v>0</v>
      </c>
      <c r="O58" s="1717">
        <f t="shared" si="19"/>
        <v>0</v>
      </c>
      <c r="P58" s="1718">
        <f t="shared" si="7"/>
        <v>0</v>
      </c>
      <c r="Q58" s="1719"/>
      <c r="R58" s="1719"/>
      <c r="S58" s="1693">
        <f t="shared" si="8"/>
        <v>0</v>
      </c>
    </row>
    <row r="59" spans="1:19" ht="21.75" hidden="1">
      <c r="A59" s="1685"/>
      <c r="B59" s="925" t="s">
        <v>586</v>
      </c>
      <c r="C59" s="1746">
        <v>0.5</v>
      </c>
      <c r="D59" s="1747"/>
      <c r="E59" s="1748">
        <f t="shared" si="9"/>
        <v>0</v>
      </c>
      <c r="F59" s="1749"/>
      <c r="G59" s="1748">
        <f t="shared" si="22"/>
        <v>0</v>
      </c>
      <c r="H59" s="1749"/>
      <c r="I59" s="1748">
        <f t="shared" si="23"/>
        <v>0</v>
      </c>
      <c r="J59" s="1749"/>
      <c r="K59" s="1748">
        <f t="shared" si="3"/>
        <v>0</v>
      </c>
      <c r="L59" s="1750">
        <f>'[3]Commande Souvenirs, librairie'!F135</f>
        <v>0.12000000000000001</v>
      </c>
      <c r="M59" s="732">
        <f t="shared" si="28"/>
        <v>0.38</v>
      </c>
      <c r="N59" s="783">
        <f t="shared" si="29"/>
        <v>0</v>
      </c>
      <c r="O59" s="1717">
        <f t="shared" si="19"/>
        <v>0</v>
      </c>
      <c r="P59" s="1718">
        <f t="shared" si="7"/>
        <v>0</v>
      </c>
      <c r="Q59" s="1719"/>
      <c r="R59" s="1719"/>
      <c r="S59" s="1693">
        <f t="shared" si="8"/>
        <v>0</v>
      </c>
    </row>
    <row r="60" spans="1:19" ht="21.75" customHeight="1">
      <c r="A60" s="1736" t="s">
        <v>205</v>
      </c>
      <c r="B60" s="1065" t="s">
        <v>1147</v>
      </c>
      <c r="C60" s="1751">
        <v>25</v>
      </c>
      <c r="D60" s="1752"/>
      <c r="E60" s="1619">
        <f t="shared" si="9"/>
        <v>0</v>
      </c>
      <c r="F60" s="1618"/>
      <c r="G60" s="1619">
        <f t="shared" si="22"/>
        <v>0</v>
      </c>
      <c r="H60" s="1618"/>
      <c r="I60" s="1619">
        <f t="shared" si="23"/>
        <v>0</v>
      </c>
      <c r="J60" s="1618"/>
      <c r="K60" s="1619">
        <f t="shared" si="3"/>
        <v>0</v>
      </c>
      <c r="L60" s="1743">
        <f>'[3]Commande Souvenirs, librairie'!F158</f>
        <v>12</v>
      </c>
      <c r="M60" s="743">
        <f t="shared" si="28"/>
        <v>13</v>
      </c>
      <c r="N60" s="744">
        <f t="shared" si="29"/>
        <v>0</v>
      </c>
      <c r="O60" s="1717">
        <f t="shared" si="19"/>
        <v>0</v>
      </c>
      <c r="P60" s="1718">
        <f t="shared" si="7"/>
        <v>0</v>
      </c>
      <c r="Q60" s="1719">
        <v>5</v>
      </c>
      <c r="R60" s="1719"/>
      <c r="S60" s="1693">
        <f t="shared" si="8"/>
        <v>5</v>
      </c>
    </row>
    <row r="61" spans="1:19" ht="21.75">
      <c r="A61" s="1736"/>
      <c r="B61" s="68" t="s">
        <v>1148</v>
      </c>
      <c r="C61" s="1753">
        <v>7.9</v>
      </c>
      <c r="D61" s="1696"/>
      <c r="E61" s="1628">
        <f t="shared" si="9"/>
        <v>0</v>
      </c>
      <c r="F61" s="525"/>
      <c r="G61" s="1628">
        <f t="shared" si="22"/>
        <v>0</v>
      </c>
      <c r="H61" s="525"/>
      <c r="I61" s="1628">
        <f t="shared" si="23"/>
        <v>0</v>
      </c>
      <c r="J61" s="525"/>
      <c r="K61" s="1628">
        <f t="shared" si="3"/>
        <v>0</v>
      </c>
      <c r="L61" s="1697"/>
      <c r="M61" s="662"/>
      <c r="N61" s="663"/>
      <c r="O61" s="1717">
        <f t="shared" si="19"/>
        <v>0</v>
      </c>
      <c r="P61" s="1718">
        <f t="shared" si="7"/>
        <v>0</v>
      </c>
      <c r="Q61" s="1719">
        <v>10</v>
      </c>
      <c r="R61" s="1719"/>
      <c r="S61" s="1693">
        <f t="shared" si="8"/>
        <v>10</v>
      </c>
    </row>
    <row r="62" spans="1:19" ht="21.75">
      <c r="A62" s="1736"/>
      <c r="B62" s="68" t="s">
        <v>1149</v>
      </c>
      <c r="C62" s="1753">
        <v>7.5</v>
      </c>
      <c r="D62" s="1696"/>
      <c r="E62" s="1628">
        <f t="shared" si="9"/>
        <v>0</v>
      </c>
      <c r="F62" s="525"/>
      <c r="G62" s="1628">
        <f t="shared" si="22"/>
        <v>0</v>
      </c>
      <c r="H62" s="525"/>
      <c r="I62" s="1628">
        <f t="shared" si="23"/>
        <v>0</v>
      </c>
      <c r="J62" s="525"/>
      <c r="K62" s="1628">
        <f t="shared" si="3"/>
        <v>0</v>
      </c>
      <c r="L62" s="1697">
        <f>'[3]Commande Souvenirs, librairie'!F42</f>
        <v>3.6</v>
      </c>
      <c r="M62" s="662">
        <f aca="true" t="shared" si="30" ref="M62:M64">C62-L62</f>
        <v>3.9</v>
      </c>
      <c r="N62" s="663">
        <f aca="true" t="shared" si="31" ref="N62:N64">M62*P62</f>
        <v>0</v>
      </c>
      <c r="O62" s="1717">
        <f t="shared" si="19"/>
        <v>0</v>
      </c>
      <c r="P62" s="1718">
        <f t="shared" si="7"/>
        <v>0</v>
      </c>
      <c r="Q62" s="1719">
        <v>5</v>
      </c>
      <c r="R62" s="1719"/>
      <c r="S62" s="1693">
        <f t="shared" si="8"/>
        <v>5</v>
      </c>
    </row>
    <row r="63" spans="1:19" ht="21.75">
      <c r="A63" s="1736"/>
      <c r="B63" s="68" t="s">
        <v>550</v>
      </c>
      <c r="C63" s="1753">
        <v>3.5</v>
      </c>
      <c r="D63" s="1696"/>
      <c r="E63" s="1628">
        <f t="shared" si="9"/>
        <v>0</v>
      </c>
      <c r="F63" s="525"/>
      <c r="G63" s="1628">
        <f t="shared" si="22"/>
        <v>0</v>
      </c>
      <c r="H63" s="525"/>
      <c r="I63" s="1628">
        <f t="shared" si="23"/>
        <v>0</v>
      </c>
      <c r="J63" s="525"/>
      <c r="K63" s="1628">
        <f t="shared" si="3"/>
        <v>0</v>
      </c>
      <c r="L63" s="1697">
        <f>'[3]Commande Souvenirs, librairie'!F163</f>
        <v>0.88</v>
      </c>
      <c r="M63" s="662">
        <f t="shared" si="30"/>
        <v>2.62</v>
      </c>
      <c r="N63" s="663">
        <f t="shared" si="31"/>
        <v>0</v>
      </c>
      <c r="O63" s="1717">
        <f t="shared" si="19"/>
        <v>0</v>
      </c>
      <c r="P63" s="1718">
        <f t="shared" si="7"/>
        <v>0</v>
      </c>
      <c r="Q63" s="1719">
        <v>5</v>
      </c>
      <c r="R63" s="1719"/>
      <c r="S63" s="1693">
        <f t="shared" si="8"/>
        <v>5</v>
      </c>
    </row>
    <row r="64" spans="1:19" ht="21.75">
      <c r="A64" s="1736"/>
      <c r="B64" s="68" t="s">
        <v>1104</v>
      </c>
      <c r="C64" s="1753">
        <v>3.5</v>
      </c>
      <c r="D64" s="1696"/>
      <c r="E64" s="1628">
        <f t="shared" si="9"/>
        <v>0</v>
      </c>
      <c r="F64" s="525"/>
      <c r="G64" s="1628">
        <f t="shared" si="22"/>
        <v>0</v>
      </c>
      <c r="H64" s="525"/>
      <c r="I64" s="1628">
        <f t="shared" si="23"/>
        <v>0</v>
      </c>
      <c r="J64" s="525"/>
      <c r="K64" s="1628">
        <f t="shared" si="3"/>
        <v>0</v>
      </c>
      <c r="L64" s="1697">
        <f>'[3]Commande Souvenirs, librairie'!F43</f>
        <v>1.86</v>
      </c>
      <c r="M64" s="662">
        <f t="shared" si="30"/>
        <v>1.64</v>
      </c>
      <c r="N64" s="663">
        <f t="shared" si="31"/>
        <v>0</v>
      </c>
      <c r="O64" s="1717">
        <f t="shared" si="19"/>
        <v>0</v>
      </c>
      <c r="P64" s="1718">
        <f t="shared" si="7"/>
        <v>0</v>
      </c>
      <c r="Q64" s="1719">
        <v>5</v>
      </c>
      <c r="R64" s="1719"/>
      <c r="S64" s="1693">
        <f t="shared" si="8"/>
        <v>5</v>
      </c>
    </row>
    <row r="65" spans="1:19" ht="30">
      <c r="A65" s="1736"/>
      <c r="B65" s="1651" t="s">
        <v>1150</v>
      </c>
      <c r="C65" s="1753">
        <v>3.5</v>
      </c>
      <c r="D65" s="1696"/>
      <c r="E65" s="1628">
        <f t="shared" si="9"/>
        <v>0</v>
      </c>
      <c r="F65" s="525"/>
      <c r="G65" s="1628">
        <f t="shared" si="22"/>
        <v>0</v>
      </c>
      <c r="H65" s="525"/>
      <c r="I65" s="1628">
        <f t="shared" si="23"/>
        <v>0</v>
      </c>
      <c r="J65" s="525"/>
      <c r="K65" s="1628">
        <f t="shared" si="3"/>
        <v>0</v>
      </c>
      <c r="L65" s="1697"/>
      <c r="M65" s="662"/>
      <c r="N65" s="663"/>
      <c r="O65" s="1717">
        <f t="shared" si="19"/>
        <v>0</v>
      </c>
      <c r="P65" s="1718">
        <f t="shared" si="7"/>
        <v>0</v>
      </c>
      <c r="Q65" s="1719">
        <v>5</v>
      </c>
      <c r="R65" s="1719"/>
      <c r="S65" s="1693">
        <f t="shared" si="8"/>
        <v>5</v>
      </c>
    </row>
    <row r="66" spans="1:19" ht="21.75">
      <c r="A66" s="1736"/>
      <c r="B66" s="68" t="s">
        <v>1151</v>
      </c>
      <c r="C66" s="1753">
        <v>11.3</v>
      </c>
      <c r="D66" s="1696"/>
      <c r="E66" s="1628">
        <f t="shared" si="9"/>
        <v>0</v>
      </c>
      <c r="F66" s="525"/>
      <c r="G66" s="1628">
        <f t="shared" si="22"/>
        <v>0</v>
      </c>
      <c r="H66" s="525"/>
      <c r="I66" s="1628">
        <f t="shared" si="23"/>
        <v>0</v>
      </c>
      <c r="J66" s="525"/>
      <c r="K66" s="1628">
        <f t="shared" si="3"/>
        <v>0</v>
      </c>
      <c r="L66" s="1697"/>
      <c r="M66" s="662"/>
      <c r="N66" s="663"/>
      <c r="O66" s="1717">
        <f t="shared" si="19"/>
        <v>0</v>
      </c>
      <c r="P66" s="1718">
        <f t="shared" si="7"/>
        <v>0</v>
      </c>
      <c r="Q66" s="1719">
        <v>5</v>
      </c>
      <c r="R66" s="1719"/>
      <c r="S66" s="1693">
        <f t="shared" si="8"/>
        <v>5</v>
      </c>
    </row>
    <row r="67" spans="1:19" ht="21.75">
      <c r="A67" s="1736"/>
      <c r="B67" s="68" t="s">
        <v>1152</v>
      </c>
      <c r="C67" s="1753">
        <v>12.5</v>
      </c>
      <c r="D67" s="1696"/>
      <c r="E67" s="1628">
        <f t="shared" si="9"/>
        <v>0</v>
      </c>
      <c r="F67" s="525"/>
      <c r="G67" s="1628">
        <f t="shared" si="22"/>
        <v>0</v>
      </c>
      <c r="H67" s="525"/>
      <c r="I67" s="1628">
        <f t="shared" si="23"/>
        <v>0</v>
      </c>
      <c r="J67" s="525"/>
      <c r="K67" s="1628">
        <f t="shared" si="3"/>
        <v>0</v>
      </c>
      <c r="L67" s="1697"/>
      <c r="M67" s="662"/>
      <c r="N67" s="663"/>
      <c r="O67" s="1717">
        <f t="shared" si="19"/>
        <v>0</v>
      </c>
      <c r="P67" s="1718">
        <f t="shared" si="7"/>
        <v>0</v>
      </c>
      <c r="Q67" s="1719">
        <v>4</v>
      </c>
      <c r="R67" s="1719"/>
      <c r="S67" s="1693">
        <f t="shared" si="8"/>
        <v>4</v>
      </c>
    </row>
    <row r="68" spans="1:19" ht="21.75">
      <c r="A68" s="1736"/>
      <c r="B68" s="68" t="s">
        <v>611</v>
      </c>
      <c r="C68" s="1753">
        <v>5</v>
      </c>
      <c r="D68" s="1696"/>
      <c r="E68" s="1628">
        <f t="shared" si="9"/>
        <v>0</v>
      </c>
      <c r="F68" s="525"/>
      <c r="G68" s="1628">
        <f t="shared" si="22"/>
        <v>0</v>
      </c>
      <c r="H68" s="525"/>
      <c r="I68" s="1628">
        <f t="shared" si="23"/>
        <v>0</v>
      </c>
      <c r="J68" s="525"/>
      <c r="K68" s="1628">
        <f t="shared" si="3"/>
        <v>0</v>
      </c>
      <c r="L68" s="1697"/>
      <c r="M68" s="662"/>
      <c r="N68" s="663"/>
      <c r="O68" s="1717">
        <f t="shared" si="19"/>
        <v>0</v>
      </c>
      <c r="P68" s="1718">
        <f t="shared" si="7"/>
        <v>0</v>
      </c>
      <c r="Q68" s="1719">
        <v>8</v>
      </c>
      <c r="R68" s="1719"/>
      <c r="S68" s="1693">
        <f t="shared" si="8"/>
        <v>8</v>
      </c>
    </row>
    <row r="69" spans="1:19" ht="21.75">
      <c r="A69" s="1736"/>
      <c r="B69" s="68" t="s">
        <v>1153</v>
      </c>
      <c r="C69" s="1753">
        <v>1.5</v>
      </c>
      <c r="D69" s="1696"/>
      <c r="E69" s="1628">
        <f t="shared" si="9"/>
        <v>0</v>
      </c>
      <c r="F69" s="525"/>
      <c r="G69" s="1628">
        <f t="shared" si="22"/>
        <v>0</v>
      </c>
      <c r="H69" s="525"/>
      <c r="I69" s="1628">
        <f t="shared" si="23"/>
        <v>0</v>
      </c>
      <c r="J69" s="525"/>
      <c r="K69" s="1628">
        <f t="shared" si="3"/>
        <v>0</v>
      </c>
      <c r="L69" s="1697">
        <f>'[3]Commande Souvenirs, librairie'!F41</f>
        <v>0.48000000000000004</v>
      </c>
      <c r="M69" s="662">
        <f>C69-L69</f>
        <v>1.02</v>
      </c>
      <c r="N69" s="663">
        <f>M69*P69</f>
        <v>0</v>
      </c>
      <c r="O69" s="1717">
        <f t="shared" si="19"/>
        <v>0</v>
      </c>
      <c r="P69" s="1718">
        <f t="shared" si="7"/>
        <v>0</v>
      </c>
      <c r="Q69" s="1719">
        <v>15</v>
      </c>
      <c r="R69" s="1719"/>
      <c r="S69" s="1693">
        <f t="shared" si="8"/>
        <v>15</v>
      </c>
    </row>
    <row r="70" spans="1:19" ht="21.75">
      <c r="A70" s="1736"/>
      <c r="B70" s="68" t="s">
        <v>913</v>
      </c>
      <c r="C70" s="1753">
        <v>9.5</v>
      </c>
      <c r="D70" s="1696"/>
      <c r="E70" s="1628">
        <f t="shared" si="9"/>
        <v>0</v>
      </c>
      <c r="F70" s="525"/>
      <c r="G70" s="1628">
        <f t="shared" si="22"/>
        <v>0</v>
      </c>
      <c r="H70" s="525"/>
      <c r="I70" s="1628">
        <f t="shared" si="23"/>
        <v>0</v>
      </c>
      <c r="J70" s="525"/>
      <c r="K70" s="1628">
        <f t="shared" si="3"/>
        <v>0</v>
      </c>
      <c r="L70" s="1697"/>
      <c r="M70" s="662"/>
      <c r="N70" s="663"/>
      <c r="O70" s="1717">
        <f t="shared" si="19"/>
        <v>0</v>
      </c>
      <c r="P70" s="1718">
        <f t="shared" si="7"/>
        <v>0</v>
      </c>
      <c r="Q70" s="1719">
        <v>10</v>
      </c>
      <c r="R70" s="1719"/>
      <c r="S70" s="1693">
        <f t="shared" si="8"/>
        <v>10</v>
      </c>
    </row>
    <row r="71" spans="1:19" ht="21.75">
      <c r="A71" s="1736"/>
      <c r="B71" s="68" t="s">
        <v>797</v>
      </c>
      <c r="C71" s="1753">
        <v>1.3</v>
      </c>
      <c r="D71" s="1696"/>
      <c r="E71" s="1628">
        <f t="shared" si="9"/>
        <v>0</v>
      </c>
      <c r="F71" s="525"/>
      <c r="G71" s="1628">
        <f t="shared" si="22"/>
        <v>0</v>
      </c>
      <c r="H71" s="525"/>
      <c r="I71" s="1628">
        <f t="shared" si="23"/>
        <v>0</v>
      </c>
      <c r="J71" s="525"/>
      <c r="K71" s="1628">
        <f t="shared" si="3"/>
        <v>0</v>
      </c>
      <c r="L71" s="1697"/>
      <c r="M71" s="662"/>
      <c r="N71" s="663"/>
      <c r="O71" s="1717">
        <f t="shared" si="19"/>
        <v>0</v>
      </c>
      <c r="P71" s="1718">
        <f t="shared" si="7"/>
        <v>0</v>
      </c>
      <c r="Q71" s="1719">
        <v>20</v>
      </c>
      <c r="R71" s="1719"/>
      <c r="S71" s="1693">
        <f t="shared" si="8"/>
        <v>20</v>
      </c>
    </row>
    <row r="72" spans="1:19" ht="21.75">
      <c r="A72" s="1736"/>
      <c r="B72" s="68" t="s">
        <v>802</v>
      </c>
      <c r="C72" s="1753">
        <v>5</v>
      </c>
      <c r="D72" s="1696"/>
      <c r="E72" s="1628">
        <f t="shared" si="9"/>
        <v>0</v>
      </c>
      <c r="F72" s="525"/>
      <c r="G72" s="1628">
        <f t="shared" si="22"/>
        <v>0</v>
      </c>
      <c r="H72" s="525"/>
      <c r="I72" s="1628">
        <f t="shared" si="23"/>
        <v>0</v>
      </c>
      <c r="J72" s="525"/>
      <c r="K72" s="1628">
        <f t="shared" si="3"/>
        <v>0</v>
      </c>
      <c r="L72" s="1697"/>
      <c r="M72" s="662"/>
      <c r="N72" s="663"/>
      <c r="O72" s="1717">
        <f t="shared" si="19"/>
        <v>0</v>
      </c>
      <c r="P72" s="1718">
        <f t="shared" si="7"/>
        <v>0</v>
      </c>
      <c r="Q72" s="1719">
        <v>5</v>
      </c>
      <c r="R72" s="1719"/>
      <c r="S72" s="1693">
        <f t="shared" si="8"/>
        <v>5</v>
      </c>
    </row>
    <row r="73" spans="1:19" ht="21.75">
      <c r="A73" s="1736"/>
      <c r="B73" s="158" t="s">
        <v>1154</v>
      </c>
      <c r="C73" s="1754">
        <v>3</v>
      </c>
      <c r="D73" s="1737"/>
      <c r="E73" s="1632">
        <f t="shared" si="9"/>
        <v>0</v>
      </c>
      <c r="F73" s="1319"/>
      <c r="G73" s="1632">
        <f t="shared" si="22"/>
        <v>0</v>
      </c>
      <c r="H73" s="1319"/>
      <c r="I73" s="1632">
        <f t="shared" si="23"/>
        <v>0</v>
      </c>
      <c r="J73" s="1319"/>
      <c r="K73" s="1632">
        <f t="shared" si="3"/>
        <v>0</v>
      </c>
      <c r="L73" s="1738">
        <f>'[3]Commande Souvenirs, librairie'!F35</f>
        <v>1.5</v>
      </c>
      <c r="M73" s="1474">
        <f aca="true" t="shared" si="32" ref="M73:M75">C73-L73</f>
        <v>1.5</v>
      </c>
      <c r="N73" s="899">
        <f aca="true" t="shared" si="33" ref="N73:N75">M73*P73</f>
        <v>0</v>
      </c>
      <c r="O73" s="1717">
        <f t="shared" si="19"/>
        <v>0</v>
      </c>
      <c r="P73" s="1718">
        <f t="shared" si="7"/>
        <v>0</v>
      </c>
      <c r="Q73" s="1719">
        <v>10</v>
      </c>
      <c r="R73" s="1719"/>
      <c r="S73" s="1693">
        <f t="shared" si="8"/>
        <v>10</v>
      </c>
    </row>
    <row r="74" spans="1:19" ht="21.75" customHeight="1">
      <c r="A74" s="1650" t="s">
        <v>905</v>
      </c>
      <c r="B74" s="1065" t="s">
        <v>1155</v>
      </c>
      <c r="C74" s="1751">
        <v>5</v>
      </c>
      <c r="D74" s="1752"/>
      <c r="E74" s="1619">
        <f t="shared" si="9"/>
        <v>0</v>
      </c>
      <c r="F74" s="1618"/>
      <c r="G74" s="1619">
        <f t="shared" si="22"/>
        <v>0</v>
      </c>
      <c r="H74" s="1618"/>
      <c r="I74" s="1619">
        <f t="shared" si="23"/>
        <v>0</v>
      </c>
      <c r="J74" s="1618"/>
      <c r="K74" s="1619">
        <f t="shared" si="3"/>
        <v>0</v>
      </c>
      <c r="L74" s="1743">
        <f>'[3]Commande Alimentaire'!E13</f>
        <v>3.52</v>
      </c>
      <c r="M74" s="743">
        <f t="shared" si="32"/>
        <v>1.48</v>
      </c>
      <c r="N74" s="744">
        <f t="shared" si="33"/>
        <v>0</v>
      </c>
      <c r="O74" s="1717">
        <f t="shared" si="19"/>
        <v>0</v>
      </c>
      <c r="P74" s="1718">
        <f t="shared" si="7"/>
        <v>0</v>
      </c>
      <c r="Q74" s="1719">
        <v>3</v>
      </c>
      <c r="R74" s="1719"/>
      <c r="S74" s="1693">
        <f t="shared" si="8"/>
        <v>3</v>
      </c>
    </row>
    <row r="75" spans="1:19" ht="21.75">
      <c r="A75" s="1650"/>
      <c r="B75" s="680" t="s">
        <v>1156</v>
      </c>
      <c r="C75" s="1755">
        <v>5.2</v>
      </c>
      <c r="D75" s="1703"/>
      <c r="E75" s="1660">
        <f t="shared" si="9"/>
        <v>0</v>
      </c>
      <c r="F75" s="526"/>
      <c r="G75" s="1660">
        <f t="shared" si="22"/>
        <v>0</v>
      </c>
      <c r="H75" s="526"/>
      <c r="I75" s="1660">
        <f t="shared" si="23"/>
        <v>0</v>
      </c>
      <c r="J75" s="526"/>
      <c r="K75" s="1660">
        <f t="shared" si="3"/>
        <v>0</v>
      </c>
      <c r="L75" s="1704">
        <f>'[3]Commande Alimentaire'!E14</f>
        <v>3.66</v>
      </c>
      <c r="M75" s="686">
        <f t="shared" si="32"/>
        <v>1.54</v>
      </c>
      <c r="N75" s="687">
        <f t="shared" si="33"/>
        <v>0</v>
      </c>
      <c r="O75" s="1690">
        <f t="shared" si="19"/>
        <v>0</v>
      </c>
      <c r="P75" s="1691">
        <f t="shared" si="7"/>
        <v>0</v>
      </c>
      <c r="Q75" s="1692">
        <v>3</v>
      </c>
      <c r="R75" s="1692"/>
      <c r="S75" s="1693">
        <f t="shared" si="8"/>
        <v>3</v>
      </c>
    </row>
    <row r="76" spans="1:19" ht="21.75" customHeight="1">
      <c r="A76" s="1736" t="s">
        <v>1157</v>
      </c>
      <c r="B76" s="24" t="s">
        <v>1098</v>
      </c>
      <c r="C76" s="1756">
        <v>6.2</v>
      </c>
      <c r="D76" s="1688"/>
      <c r="E76" s="1636">
        <f t="shared" si="9"/>
        <v>0</v>
      </c>
      <c r="F76" s="1223"/>
      <c r="G76" s="1636">
        <f t="shared" si="22"/>
        <v>0</v>
      </c>
      <c r="H76" s="1223"/>
      <c r="I76" s="1636">
        <f t="shared" si="23"/>
        <v>0</v>
      </c>
      <c r="J76" s="1223"/>
      <c r="K76" s="1636">
        <f t="shared" si="3"/>
        <v>0</v>
      </c>
      <c r="L76" s="1689"/>
      <c r="M76" s="1206"/>
      <c r="N76" s="1355"/>
      <c r="O76" s="1717">
        <f t="shared" si="19"/>
        <v>0</v>
      </c>
      <c r="P76" s="1691">
        <f t="shared" si="7"/>
        <v>0</v>
      </c>
      <c r="Q76" s="1719">
        <v>3</v>
      </c>
      <c r="R76" s="1719"/>
      <c r="S76" s="1757">
        <f t="shared" si="8"/>
        <v>3</v>
      </c>
    </row>
    <row r="77" spans="1:19" ht="21.75">
      <c r="A77" s="1736"/>
      <c r="B77" s="88" t="s">
        <v>103</v>
      </c>
      <c r="C77" s="1758">
        <v>6.2</v>
      </c>
      <c r="D77" s="1707"/>
      <c r="E77" s="1640">
        <f t="shared" si="9"/>
        <v>0</v>
      </c>
      <c r="F77" s="1317"/>
      <c r="G77" s="1640">
        <f t="shared" si="22"/>
        <v>0</v>
      </c>
      <c r="H77" s="1317"/>
      <c r="I77" s="1640">
        <f t="shared" si="23"/>
        <v>0</v>
      </c>
      <c r="J77" s="1317"/>
      <c r="K77" s="1640">
        <f t="shared" si="3"/>
        <v>0</v>
      </c>
      <c r="L77" s="1708"/>
      <c r="M77" s="1080"/>
      <c r="N77" s="902"/>
      <c r="O77" s="1759">
        <f t="shared" si="19"/>
        <v>0</v>
      </c>
      <c r="P77" s="1691">
        <f t="shared" si="7"/>
        <v>0</v>
      </c>
      <c r="Q77" s="1760">
        <v>3</v>
      </c>
      <c r="R77" s="1760"/>
      <c r="S77" s="1761">
        <f t="shared" si="8"/>
        <v>3</v>
      </c>
    </row>
    <row r="78" spans="1:19" ht="21.75">
      <c r="A78" s="1736" t="s">
        <v>656</v>
      </c>
      <c r="B78" s="118" t="s">
        <v>1158</v>
      </c>
      <c r="C78" s="1762">
        <v>9.9</v>
      </c>
      <c r="D78" s="1725"/>
      <c r="E78" s="1726">
        <f t="shared" si="9"/>
        <v>0</v>
      </c>
      <c r="F78" s="1468"/>
      <c r="G78" s="1726">
        <f t="shared" si="22"/>
        <v>0</v>
      </c>
      <c r="H78" s="1468"/>
      <c r="I78" s="1726">
        <f t="shared" si="23"/>
        <v>0</v>
      </c>
      <c r="J78" s="1468"/>
      <c r="K78" s="1726">
        <f t="shared" si="3"/>
        <v>0</v>
      </c>
      <c r="L78" s="1727"/>
      <c r="M78" s="1265"/>
      <c r="N78" s="1464"/>
      <c r="O78" s="1763">
        <f t="shared" si="19"/>
        <v>0</v>
      </c>
      <c r="P78" s="1764">
        <f t="shared" si="7"/>
        <v>0</v>
      </c>
      <c r="Q78" s="1765">
        <v>6</v>
      </c>
      <c r="R78" s="1765"/>
      <c r="S78" s="1693">
        <f t="shared" si="8"/>
        <v>6</v>
      </c>
    </row>
    <row r="79" spans="1:19" ht="21.75">
      <c r="A79" s="1736" t="s">
        <v>1159</v>
      </c>
      <c r="B79" s="118" t="s">
        <v>1160</v>
      </c>
      <c r="C79" s="1762">
        <v>7</v>
      </c>
      <c r="D79" s="1725"/>
      <c r="E79" s="1726">
        <f t="shared" si="9"/>
        <v>0</v>
      </c>
      <c r="F79" s="1468"/>
      <c r="G79" s="1726">
        <f t="shared" si="22"/>
        <v>0</v>
      </c>
      <c r="H79" s="1468"/>
      <c r="I79" s="1726">
        <f t="shared" si="23"/>
        <v>0</v>
      </c>
      <c r="J79" s="1468"/>
      <c r="K79" s="1726">
        <f t="shared" si="3"/>
        <v>0</v>
      </c>
      <c r="L79" s="1727">
        <f>'[3]Commande Alimentaire'!E21</f>
        <v>6.3</v>
      </c>
      <c r="M79" s="1265">
        <f>C79-L79</f>
        <v>0.7000000000000002</v>
      </c>
      <c r="N79" s="1464">
        <f>M79*P79</f>
        <v>0</v>
      </c>
      <c r="O79" s="1763">
        <f t="shared" si="19"/>
        <v>0</v>
      </c>
      <c r="P79" s="1764">
        <f t="shared" si="7"/>
        <v>0</v>
      </c>
      <c r="Q79" s="1765">
        <v>3</v>
      </c>
      <c r="R79" s="1765"/>
      <c r="S79" s="1693">
        <f t="shared" si="8"/>
        <v>3</v>
      </c>
    </row>
    <row r="80" spans="1:19" ht="21.75" customHeight="1">
      <c r="A80" s="1736" t="s">
        <v>786</v>
      </c>
      <c r="B80" s="1065" t="s">
        <v>128</v>
      </c>
      <c r="C80" s="1751">
        <v>3.7</v>
      </c>
      <c r="D80" s="1752"/>
      <c r="E80" s="1619">
        <f t="shared" si="9"/>
        <v>0</v>
      </c>
      <c r="F80" s="1618"/>
      <c r="G80" s="1619">
        <f t="shared" si="22"/>
        <v>0</v>
      </c>
      <c r="H80" s="1618"/>
      <c r="I80" s="1619">
        <f t="shared" si="23"/>
        <v>0</v>
      </c>
      <c r="J80" s="1618"/>
      <c r="K80" s="1619">
        <f t="shared" si="3"/>
        <v>0</v>
      </c>
      <c r="L80" s="1743"/>
      <c r="M80" s="743"/>
      <c r="N80" s="744"/>
      <c r="O80" s="1717">
        <f t="shared" si="19"/>
        <v>0</v>
      </c>
      <c r="P80" s="1764">
        <f t="shared" si="7"/>
        <v>0</v>
      </c>
      <c r="Q80" s="1719">
        <v>4</v>
      </c>
      <c r="R80" s="1719"/>
      <c r="S80" s="1693">
        <f t="shared" si="8"/>
        <v>4</v>
      </c>
    </row>
    <row r="81" spans="1:19" ht="21.75">
      <c r="A81" s="1736"/>
      <c r="B81" s="680" t="s">
        <v>137</v>
      </c>
      <c r="C81" s="1755">
        <v>7.2</v>
      </c>
      <c r="D81" s="1703"/>
      <c r="E81" s="1660">
        <f t="shared" si="9"/>
        <v>0</v>
      </c>
      <c r="F81" s="526"/>
      <c r="G81" s="1660">
        <f t="shared" si="22"/>
        <v>0</v>
      </c>
      <c r="H81" s="526"/>
      <c r="I81" s="1660">
        <f t="shared" si="23"/>
        <v>0</v>
      </c>
      <c r="J81" s="526"/>
      <c r="K81" s="1660">
        <f t="shared" si="3"/>
        <v>0</v>
      </c>
      <c r="L81" s="1704">
        <f>'[3]Commande Alimentaire'!E68</f>
        <v>5.76</v>
      </c>
      <c r="M81" s="686">
        <f>C81-L81</f>
        <v>1.4400000000000004</v>
      </c>
      <c r="N81" s="687">
        <f>M81*P81</f>
        <v>0</v>
      </c>
      <c r="O81" s="1690">
        <f t="shared" si="19"/>
        <v>0</v>
      </c>
      <c r="P81" s="1764">
        <f t="shared" si="7"/>
        <v>0</v>
      </c>
      <c r="Q81" s="1692">
        <v>3</v>
      </c>
      <c r="R81" s="1692"/>
      <c r="S81" s="1693">
        <f t="shared" si="8"/>
        <v>3</v>
      </c>
    </row>
    <row r="82" spans="1:19" ht="21.75" customHeight="1">
      <c r="A82" s="1736" t="s">
        <v>111</v>
      </c>
      <c r="B82" s="1065" t="s">
        <v>1094</v>
      </c>
      <c r="C82" s="1751">
        <v>7</v>
      </c>
      <c r="D82" s="1752"/>
      <c r="E82" s="1619">
        <f t="shared" si="9"/>
        <v>0</v>
      </c>
      <c r="F82" s="1618"/>
      <c r="G82" s="1619">
        <f t="shared" si="22"/>
        <v>0</v>
      </c>
      <c r="H82" s="1618"/>
      <c r="I82" s="1619">
        <f t="shared" si="23"/>
        <v>0</v>
      </c>
      <c r="J82" s="1618"/>
      <c r="K82" s="1619">
        <f t="shared" si="3"/>
        <v>0</v>
      </c>
      <c r="L82" s="1743">
        <v>4.95</v>
      </c>
      <c r="M82" s="743"/>
      <c r="N82" s="744"/>
      <c r="O82" s="1717">
        <f t="shared" si="19"/>
        <v>0</v>
      </c>
      <c r="P82" s="1718">
        <f t="shared" si="7"/>
        <v>0</v>
      </c>
      <c r="Q82" s="1719">
        <v>3</v>
      </c>
      <c r="R82" s="1719"/>
      <c r="S82" s="1693">
        <f t="shared" si="8"/>
        <v>3</v>
      </c>
    </row>
    <row r="83" spans="1:19" ht="21.75">
      <c r="A83" s="1736"/>
      <c r="B83" s="68" t="s">
        <v>1095</v>
      </c>
      <c r="C83" s="1753">
        <v>7</v>
      </c>
      <c r="D83" s="1696"/>
      <c r="E83" s="1628">
        <f t="shared" si="9"/>
        <v>0</v>
      </c>
      <c r="F83" s="525"/>
      <c r="G83" s="1628">
        <f t="shared" si="22"/>
        <v>0</v>
      </c>
      <c r="H83" s="525"/>
      <c r="I83" s="1624">
        <f t="shared" si="23"/>
        <v>0</v>
      </c>
      <c r="J83" s="525"/>
      <c r="K83" s="1628">
        <f t="shared" si="3"/>
        <v>0</v>
      </c>
      <c r="L83" s="1697">
        <v>4.95</v>
      </c>
      <c r="M83" s="662"/>
      <c r="N83" s="663"/>
      <c r="O83" s="1717">
        <f t="shared" si="19"/>
        <v>0</v>
      </c>
      <c r="P83" s="1718">
        <f t="shared" si="7"/>
        <v>0</v>
      </c>
      <c r="Q83" s="1719">
        <v>3</v>
      </c>
      <c r="R83" s="1719"/>
      <c r="S83" s="1693">
        <f t="shared" si="8"/>
        <v>3</v>
      </c>
    </row>
    <row r="84" spans="1:19" ht="30">
      <c r="A84" s="1736"/>
      <c r="B84" s="1651" t="s">
        <v>1096</v>
      </c>
      <c r="C84" s="1753">
        <v>7</v>
      </c>
      <c r="D84" s="1696"/>
      <c r="E84" s="1628">
        <f t="shared" si="9"/>
        <v>0</v>
      </c>
      <c r="F84" s="525"/>
      <c r="G84" s="1628">
        <f t="shared" si="22"/>
        <v>0</v>
      </c>
      <c r="H84" s="525"/>
      <c r="I84" s="1624">
        <f t="shared" si="23"/>
        <v>0</v>
      </c>
      <c r="J84" s="525"/>
      <c r="K84" s="1628">
        <f t="shared" si="3"/>
        <v>0</v>
      </c>
      <c r="L84" s="1697">
        <v>4.95</v>
      </c>
      <c r="M84" s="662"/>
      <c r="N84" s="663"/>
      <c r="O84" s="1717">
        <f t="shared" si="19"/>
        <v>0</v>
      </c>
      <c r="P84" s="1718">
        <f t="shared" si="7"/>
        <v>0</v>
      </c>
      <c r="Q84" s="1719">
        <v>3</v>
      </c>
      <c r="R84" s="1719"/>
      <c r="S84" s="1693">
        <f t="shared" si="8"/>
        <v>3</v>
      </c>
    </row>
    <row r="85" spans="1:19" ht="21.75">
      <c r="A85" s="1736"/>
      <c r="B85" s="158" t="s">
        <v>118</v>
      </c>
      <c r="C85" s="1754">
        <v>15</v>
      </c>
      <c r="D85" s="1737"/>
      <c r="E85" s="1632">
        <f t="shared" si="9"/>
        <v>0</v>
      </c>
      <c r="F85" s="1319"/>
      <c r="G85" s="1632">
        <f t="shared" si="22"/>
        <v>0</v>
      </c>
      <c r="H85" s="1319"/>
      <c r="I85" s="1624">
        <f t="shared" si="23"/>
        <v>0</v>
      </c>
      <c r="J85" s="1319"/>
      <c r="K85" s="1632">
        <f t="shared" si="3"/>
        <v>0</v>
      </c>
      <c r="L85" s="1738">
        <v>10</v>
      </c>
      <c r="M85" s="1474"/>
      <c r="N85" s="899"/>
      <c r="O85" s="1717">
        <f t="shared" si="19"/>
        <v>0</v>
      </c>
      <c r="P85" s="1718">
        <f t="shared" si="7"/>
        <v>0</v>
      </c>
      <c r="Q85" s="1719">
        <v>4</v>
      </c>
      <c r="R85" s="1719"/>
      <c r="S85" s="1693">
        <f t="shared" si="8"/>
        <v>4</v>
      </c>
    </row>
    <row r="86" spans="1:18" ht="21.75">
      <c r="A86" s="1766"/>
      <c r="B86" s="1767" t="s">
        <v>618</v>
      </c>
      <c r="C86" s="1768"/>
      <c r="D86" s="947">
        <f>SUM(D4:D81)</f>
        <v>0</v>
      </c>
      <c r="E86" s="945">
        <f>SUM(E4:E85)</f>
        <v>0</v>
      </c>
      <c r="F86" s="946">
        <f>SUM(F4:F85)</f>
        <v>0</v>
      </c>
      <c r="G86" s="1769">
        <f>SUM(G4:G85)</f>
        <v>0</v>
      </c>
      <c r="H86" s="946">
        <f>SUM(H3:H81)</f>
        <v>0</v>
      </c>
      <c r="I86" s="1769">
        <f>SUM(I4:I81)</f>
        <v>0</v>
      </c>
      <c r="J86" s="946">
        <f>SUM(J4:J85)</f>
        <v>0</v>
      </c>
      <c r="K86" s="945">
        <f>SUM(K4:K85)</f>
        <v>0</v>
      </c>
      <c r="L86" s="1770"/>
      <c r="M86" s="1771"/>
      <c r="N86" s="899">
        <f>SUM(N4:N85)</f>
        <v>0</v>
      </c>
      <c r="O86" s="1772">
        <f t="shared" si="19"/>
        <v>0</v>
      </c>
      <c r="P86" s="1764">
        <f>SUM(P4:P85)</f>
        <v>0</v>
      </c>
      <c r="Q86" s="1765"/>
      <c r="R86" s="1773"/>
    </row>
    <row r="87" spans="1:11" ht="15.75">
      <c r="A87" s="961"/>
      <c r="D87" s="1673" t="s">
        <v>480</v>
      </c>
      <c r="E87" s="329"/>
      <c r="F87" s="329" t="s">
        <v>6</v>
      </c>
      <c r="G87" s="329"/>
      <c r="H87" s="329" t="s">
        <v>7</v>
      </c>
      <c r="I87" s="329"/>
      <c r="J87" s="1673" t="s">
        <v>8</v>
      </c>
      <c r="K87" s="329"/>
    </row>
    <row r="88" spans="7:11" ht="12.75">
      <c r="G88" s="1774"/>
      <c r="I88" s="1774"/>
      <c r="K88" s="1774"/>
    </row>
    <row r="89" spans="6:11" ht="12.75">
      <c r="F89" s="10"/>
      <c r="H89" s="10"/>
      <c r="K89" s="307"/>
    </row>
  </sheetData>
  <sheetProtection selectLockedCells="1" selectUnlockedCells="1"/>
  <mergeCells count="18">
    <mergeCell ref="A2:B2"/>
    <mergeCell ref="D2:E2"/>
    <mergeCell ref="F2:G2"/>
    <mergeCell ref="H2:I2"/>
    <mergeCell ref="J2:K2"/>
    <mergeCell ref="A4:A9"/>
    <mergeCell ref="A10:A14"/>
    <mergeCell ref="A16:A20"/>
    <mergeCell ref="A21:A22"/>
    <mergeCell ref="A23:A25"/>
    <mergeCell ref="A26:A32"/>
    <mergeCell ref="A33:A40"/>
    <mergeCell ref="A45:A59"/>
    <mergeCell ref="A60:A73"/>
    <mergeCell ref="A74:A75"/>
    <mergeCell ref="A76:A77"/>
    <mergeCell ref="A80:A81"/>
    <mergeCell ref="A82:A8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3"/>
  </sheetPr>
  <dimension ref="A2:P34"/>
  <sheetViews>
    <sheetView workbookViewId="0" topLeftCell="A1">
      <selection activeCell="M5" sqref="M5"/>
    </sheetView>
  </sheetViews>
  <sheetFormatPr defaultColWidth="9.140625" defaultRowHeight="12.75"/>
  <cols>
    <col min="1" max="1" width="22.28125" style="0" customWidth="1"/>
    <col min="2" max="2" width="19.28125" style="0" customWidth="1"/>
    <col min="3" max="3" width="16.57421875" style="0" customWidth="1"/>
    <col min="4" max="8" width="11.00390625" style="0" customWidth="1"/>
    <col min="9" max="9" width="13.28125" style="0" customWidth="1"/>
    <col min="10" max="11" width="11.00390625" style="0" hidden="1" customWidth="1"/>
    <col min="12" max="12" width="13.421875" style="0" hidden="1" customWidth="1"/>
    <col min="13" max="13" width="16.421875" style="0" customWidth="1"/>
    <col min="14" max="14" width="14.28125" style="0" customWidth="1"/>
    <col min="15" max="16384" width="11.00390625" style="0" customWidth="1"/>
  </cols>
  <sheetData>
    <row r="2" spans="1:3" ht="13.5">
      <c r="A2" s="597"/>
      <c r="B2" s="597"/>
      <c r="C2" s="597"/>
    </row>
    <row r="3" spans="1:12" ht="29.25" customHeight="1">
      <c r="A3" s="965" t="s">
        <v>1161</v>
      </c>
      <c r="B3" s="965"/>
      <c r="C3" s="1598">
        <v>2021</v>
      </c>
      <c r="D3" s="1775" t="s">
        <v>6</v>
      </c>
      <c r="E3" s="1775"/>
      <c r="F3" s="1776" t="s">
        <v>1162</v>
      </c>
      <c r="G3" s="1776"/>
      <c r="H3" s="1777" t="s">
        <v>8</v>
      </c>
      <c r="I3" s="1777"/>
      <c r="J3" s="605"/>
      <c r="K3" s="605"/>
      <c r="L3" s="605"/>
    </row>
    <row r="4" spans="1:16" ht="82.5">
      <c r="A4" s="1778" t="s">
        <v>494</v>
      </c>
      <c r="B4" s="1779" t="s">
        <v>495</v>
      </c>
      <c r="C4" s="1780" t="s">
        <v>1163</v>
      </c>
      <c r="D4" s="1605" t="s">
        <v>497</v>
      </c>
      <c r="E4" s="1606" t="s">
        <v>504</v>
      </c>
      <c r="F4" s="1605" t="s">
        <v>497</v>
      </c>
      <c r="G4" s="1606" t="s">
        <v>505</v>
      </c>
      <c r="H4" s="1605" t="s">
        <v>497</v>
      </c>
      <c r="I4" s="1781" t="s">
        <v>506</v>
      </c>
      <c r="J4" s="1782" t="s">
        <v>1120</v>
      </c>
      <c r="K4" s="1609" t="s">
        <v>624</v>
      </c>
      <c r="L4" s="1610" t="s">
        <v>515</v>
      </c>
      <c r="M4" s="1611" t="s">
        <v>516</v>
      </c>
      <c r="N4" s="1612" t="s">
        <v>517</v>
      </c>
      <c r="O4" s="1613" t="s">
        <v>1076</v>
      </c>
      <c r="P4" s="1614" t="s">
        <v>1078</v>
      </c>
    </row>
    <row r="5" spans="1:16" ht="21.75" customHeight="1">
      <c r="A5" s="1783" t="s">
        <v>1079</v>
      </c>
      <c r="B5" s="1723" t="s">
        <v>1164</v>
      </c>
      <c r="C5" s="1784">
        <v>5</v>
      </c>
      <c r="D5" s="1468"/>
      <c r="E5" s="1726">
        <f aca="true" t="shared" si="0" ref="E5:E18">D5*C5</f>
        <v>0</v>
      </c>
      <c r="F5" s="1468"/>
      <c r="G5" s="1726">
        <f aca="true" t="shared" si="1" ref="G5:G18">F5*C5</f>
        <v>0</v>
      </c>
      <c r="H5" s="1468"/>
      <c r="I5" s="923">
        <f aca="true" t="shared" si="2" ref="I5:I18">H5*C5</f>
        <v>0</v>
      </c>
      <c r="J5" s="1263">
        <f>'[3]Commande Souvenirs, librairie'!F91</f>
        <v>12.5</v>
      </c>
      <c r="K5" s="1265">
        <f>J5-D5</f>
        <v>12.5</v>
      </c>
      <c r="L5" s="1464">
        <f>K5*N5</f>
        <v>0</v>
      </c>
      <c r="M5" s="1465">
        <f aca="true" t="shared" si="3" ref="M5:M18">E5+G5+I5</f>
        <v>0</v>
      </c>
      <c r="N5" s="1466">
        <f aca="true" t="shared" si="4" ref="N5:N18">D5+F5+H5</f>
        <v>0</v>
      </c>
      <c r="O5" s="1785">
        <v>50</v>
      </c>
      <c r="P5" s="1786">
        <f aca="true" t="shared" si="5" ref="P5:P18">O5-N5</f>
        <v>50</v>
      </c>
    </row>
    <row r="6" spans="1:16" ht="21.75">
      <c r="A6" s="1783"/>
      <c r="B6" s="1787" t="s">
        <v>1165</v>
      </c>
      <c r="C6" s="1788">
        <v>9</v>
      </c>
      <c r="D6" s="1618"/>
      <c r="E6" s="1726">
        <f t="shared" si="0"/>
        <v>0</v>
      </c>
      <c r="F6" s="1618"/>
      <c r="G6" s="1726">
        <f t="shared" si="1"/>
        <v>0</v>
      </c>
      <c r="H6" s="1618"/>
      <c r="I6" s="923">
        <f t="shared" si="2"/>
        <v>0</v>
      </c>
      <c r="J6" s="815"/>
      <c r="K6" s="743"/>
      <c r="L6" s="744"/>
      <c r="M6" s="1465">
        <f t="shared" si="3"/>
        <v>0</v>
      </c>
      <c r="N6" s="1466">
        <f t="shared" si="4"/>
        <v>0</v>
      </c>
      <c r="O6" s="1789">
        <v>10</v>
      </c>
      <c r="P6" s="1786">
        <f t="shared" si="5"/>
        <v>10</v>
      </c>
    </row>
    <row r="7" spans="1:16" ht="30" customHeight="1">
      <c r="A7" s="1783" t="s">
        <v>1166</v>
      </c>
      <c r="B7" s="1790" t="s">
        <v>1167</v>
      </c>
      <c r="C7" s="1791">
        <v>1</v>
      </c>
      <c r="D7" s="1223"/>
      <c r="E7" s="1636">
        <f t="shared" si="0"/>
        <v>0</v>
      </c>
      <c r="F7" s="1223"/>
      <c r="G7" s="1636">
        <f t="shared" si="1"/>
        <v>0</v>
      </c>
      <c r="H7" s="1223"/>
      <c r="I7" s="1201">
        <f t="shared" si="2"/>
        <v>0</v>
      </c>
      <c r="J7" s="901">
        <v>0.13</v>
      </c>
      <c r="K7" s="1206">
        <f aca="true" t="shared" si="6" ref="K7:K18">C7-J7</f>
        <v>0.87</v>
      </c>
      <c r="L7" s="1355">
        <f aca="true" t="shared" si="7" ref="L7:L18">K7*N7</f>
        <v>0</v>
      </c>
      <c r="M7" s="1356">
        <f t="shared" si="3"/>
        <v>0</v>
      </c>
      <c r="N7" s="804">
        <f t="shared" si="4"/>
        <v>0</v>
      </c>
      <c r="O7" s="1792"/>
      <c r="P7" s="1786">
        <f t="shared" si="5"/>
        <v>0</v>
      </c>
    </row>
    <row r="8" spans="1:16" ht="21.75">
      <c r="A8" s="1783"/>
      <c r="B8" s="1793" t="s">
        <v>432</v>
      </c>
      <c r="C8" s="1794">
        <v>1</v>
      </c>
      <c r="D8" s="525"/>
      <c r="E8" s="1628">
        <f t="shared" si="0"/>
        <v>0</v>
      </c>
      <c r="F8" s="525"/>
      <c r="G8" s="1628">
        <f t="shared" si="1"/>
        <v>0</v>
      </c>
      <c r="H8" s="525"/>
      <c r="I8" s="654">
        <f t="shared" si="2"/>
        <v>0</v>
      </c>
      <c r="J8" s="661">
        <v>0.13</v>
      </c>
      <c r="K8" s="662">
        <f t="shared" si="6"/>
        <v>0.87</v>
      </c>
      <c r="L8" s="663">
        <f t="shared" si="7"/>
        <v>0</v>
      </c>
      <c r="M8" s="664">
        <f t="shared" si="3"/>
        <v>0</v>
      </c>
      <c r="N8" s="665">
        <f t="shared" si="4"/>
        <v>0</v>
      </c>
      <c r="O8" s="1795">
        <v>20</v>
      </c>
      <c r="P8" s="1786">
        <f t="shared" si="5"/>
        <v>20</v>
      </c>
    </row>
    <row r="9" spans="1:16" ht="30">
      <c r="A9" s="1783"/>
      <c r="B9" s="1793" t="s">
        <v>433</v>
      </c>
      <c r="C9" s="1794">
        <v>1</v>
      </c>
      <c r="D9" s="525"/>
      <c r="E9" s="1628">
        <f t="shared" si="0"/>
        <v>0</v>
      </c>
      <c r="F9" s="525"/>
      <c r="G9" s="1628">
        <f t="shared" si="1"/>
        <v>0</v>
      </c>
      <c r="H9" s="525"/>
      <c r="I9" s="654">
        <f t="shared" si="2"/>
        <v>0</v>
      </c>
      <c r="J9" s="661">
        <v>0.13</v>
      </c>
      <c r="K9" s="662">
        <f t="shared" si="6"/>
        <v>0.87</v>
      </c>
      <c r="L9" s="663">
        <f t="shared" si="7"/>
        <v>0</v>
      </c>
      <c r="M9" s="664">
        <f t="shared" si="3"/>
        <v>0</v>
      </c>
      <c r="N9" s="665">
        <f t="shared" si="4"/>
        <v>0</v>
      </c>
      <c r="O9" s="1795">
        <v>20</v>
      </c>
      <c r="P9" s="1786">
        <f t="shared" si="5"/>
        <v>20</v>
      </c>
    </row>
    <row r="10" spans="1:16" ht="21.75">
      <c r="A10" s="1783"/>
      <c r="B10" s="1793" t="s">
        <v>434</v>
      </c>
      <c r="C10" s="1794">
        <v>1</v>
      </c>
      <c r="D10" s="525"/>
      <c r="E10" s="1628">
        <f t="shared" si="0"/>
        <v>0</v>
      </c>
      <c r="F10" s="525"/>
      <c r="G10" s="1628">
        <f t="shared" si="1"/>
        <v>0</v>
      </c>
      <c r="H10" s="525"/>
      <c r="I10" s="654">
        <f t="shared" si="2"/>
        <v>0</v>
      </c>
      <c r="J10" s="661">
        <v>0.13</v>
      </c>
      <c r="K10" s="662">
        <f t="shared" si="6"/>
        <v>0.87</v>
      </c>
      <c r="L10" s="663">
        <f t="shared" si="7"/>
        <v>0</v>
      </c>
      <c r="M10" s="664">
        <f t="shared" si="3"/>
        <v>0</v>
      </c>
      <c r="N10" s="665">
        <f t="shared" si="4"/>
        <v>0</v>
      </c>
      <c r="O10" s="1795">
        <v>20</v>
      </c>
      <c r="P10" s="1786">
        <f t="shared" si="5"/>
        <v>20</v>
      </c>
    </row>
    <row r="11" spans="1:16" ht="21.75">
      <c r="A11" s="1783"/>
      <c r="B11" s="1793" t="s">
        <v>153</v>
      </c>
      <c r="C11" s="1794">
        <v>1</v>
      </c>
      <c r="D11" s="525"/>
      <c r="E11" s="1628">
        <f t="shared" si="0"/>
        <v>0</v>
      </c>
      <c r="F11" s="525"/>
      <c r="G11" s="1628">
        <f t="shared" si="1"/>
        <v>0</v>
      </c>
      <c r="H11" s="525"/>
      <c r="I11" s="654">
        <f t="shared" si="2"/>
        <v>0</v>
      </c>
      <c r="J11" s="661">
        <v>0.13</v>
      </c>
      <c r="K11" s="662">
        <f t="shared" si="6"/>
        <v>0.87</v>
      </c>
      <c r="L11" s="663">
        <f t="shared" si="7"/>
        <v>0</v>
      </c>
      <c r="M11" s="664">
        <f t="shared" si="3"/>
        <v>0</v>
      </c>
      <c r="N11" s="665">
        <f t="shared" si="4"/>
        <v>0</v>
      </c>
      <c r="O11" s="1795">
        <v>30</v>
      </c>
      <c r="P11" s="1786">
        <f t="shared" si="5"/>
        <v>30</v>
      </c>
    </row>
    <row r="12" spans="1:16" ht="21.75">
      <c r="A12" s="1783"/>
      <c r="B12" s="1793" t="s">
        <v>435</v>
      </c>
      <c r="C12" s="1794">
        <v>1</v>
      </c>
      <c r="D12" s="525"/>
      <c r="E12" s="1628">
        <f t="shared" si="0"/>
        <v>0</v>
      </c>
      <c r="F12" s="525"/>
      <c r="G12" s="1628">
        <f t="shared" si="1"/>
        <v>0</v>
      </c>
      <c r="H12" s="525"/>
      <c r="I12" s="654">
        <f t="shared" si="2"/>
        <v>0</v>
      </c>
      <c r="J12" s="661">
        <v>0.13</v>
      </c>
      <c r="K12" s="662">
        <f t="shared" si="6"/>
        <v>0.87</v>
      </c>
      <c r="L12" s="663">
        <f t="shared" si="7"/>
        <v>0</v>
      </c>
      <c r="M12" s="664">
        <f t="shared" si="3"/>
        <v>0</v>
      </c>
      <c r="N12" s="665">
        <f t="shared" si="4"/>
        <v>0</v>
      </c>
      <c r="O12" s="1795">
        <v>20</v>
      </c>
      <c r="P12" s="1786">
        <f t="shared" si="5"/>
        <v>20</v>
      </c>
    </row>
    <row r="13" spans="1:16" ht="30">
      <c r="A13" s="1783"/>
      <c r="B13" s="1793" t="s">
        <v>437</v>
      </c>
      <c r="C13" s="1794">
        <v>1</v>
      </c>
      <c r="D13" s="525"/>
      <c r="E13" s="1628">
        <f t="shared" si="0"/>
        <v>0</v>
      </c>
      <c r="F13" s="525"/>
      <c r="G13" s="1628">
        <f t="shared" si="1"/>
        <v>0</v>
      </c>
      <c r="H13" s="525"/>
      <c r="I13" s="654">
        <f t="shared" si="2"/>
        <v>0</v>
      </c>
      <c r="J13" s="661">
        <v>0.13</v>
      </c>
      <c r="K13" s="662">
        <f t="shared" si="6"/>
        <v>0.87</v>
      </c>
      <c r="L13" s="663">
        <f t="shared" si="7"/>
        <v>0</v>
      </c>
      <c r="M13" s="664">
        <f t="shared" si="3"/>
        <v>0</v>
      </c>
      <c r="N13" s="665">
        <f t="shared" si="4"/>
        <v>0</v>
      </c>
      <c r="O13" s="1795">
        <v>20</v>
      </c>
      <c r="P13" s="1786">
        <f t="shared" si="5"/>
        <v>20</v>
      </c>
    </row>
    <row r="14" spans="1:16" ht="21.75">
      <c r="A14" s="1783"/>
      <c r="B14" s="1793" t="s">
        <v>438</v>
      </c>
      <c r="C14" s="1794">
        <v>1</v>
      </c>
      <c r="D14" s="525"/>
      <c r="E14" s="1628">
        <f t="shared" si="0"/>
        <v>0</v>
      </c>
      <c r="F14" s="525"/>
      <c r="G14" s="1628">
        <f t="shared" si="1"/>
        <v>0</v>
      </c>
      <c r="H14" s="525"/>
      <c r="I14" s="654">
        <f t="shared" si="2"/>
        <v>0</v>
      </c>
      <c r="J14" s="661">
        <v>0.13</v>
      </c>
      <c r="K14" s="662">
        <f t="shared" si="6"/>
        <v>0.87</v>
      </c>
      <c r="L14" s="663">
        <f t="shared" si="7"/>
        <v>0</v>
      </c>
      <c r="M14" s="664">
        <f t="shared" si="3"/>
        <v>0</v>
      </c>
      <c r="N14" s="665">
        <f t="shared" si="4"/>
        <v>0</v>
      </c>
      <c r="O14" s="1795">
        <v>20</v>
      </c>
      <c r="P14" s="1786">
        <f t="shared" si="5"/>
        <v>20</v>
      </c>
    </row>
    <row r="15" spans="1:16" ht="21.75">
      <c r="A15" s="1783"/>
      <c r="B15" s="1793" t="s">
        <v>439</v>
      </c>
      <c r="C15" s="1794">
        <v>1</v>
      </c>
      <c r="D15" s="525"/>
      <c r="E15" s="1628">
        <f t="shared" si="0"/>
        <v>0</v>
      </c>
      <c r="F15" s="525"/>
      <c r="G15" s="1628">
        <f t="shared" si="1"/>
        <v>0</v>
      </c>
      <c r="H15" s="525"/>
      <c r="I15" s="654">
        <f t="shared" si="2"/>
        <v>0</v>
      </c>
      <c r="J15" s="661">
        <v>0.13</v>
      </c>
      <c r="K15" s="662">
        <f t="shared" si="6"/>
        <v>0.87</v>
      </c>
      <c r="L15" s="663">
        <f t="shared" si="7"/>
        <v>0</v>
      </c>
      <c r="M15" s="664">
        <f t="shared" si="3"/>
        <v>0</v>
      </c>
      <c r="N15" s="665">
        <f t="shared" si="4"/>
        <v>0</v>
      </c>
      <c r="O15" s="1795">
        <v>20</v>
      </c>
      <c r="P15" s="1786">
        <f t="shared" si="5"/>
        <v>20</v>
      </c>
    </row>
    <row r="16" spans="1:16" ht="21.75">
      <c r="A16" s="1783"/>
      <c r="B16" s="1793" t="s">
        <v>1168</v>
      </c>
      <c r="C16" s="1794">
        <v>1</v>
      </c>
      <c r="D16" s="525"/>
      <c r="E16" s="1628">
        <f t="shared" si="0"/>
        <v>0</v>
      </c>
      <c r="F16" s="525"/>
      <c r="G16" s="1628">
        <f t="shared" si="1"/>
        <v>0</v>
      </c>
      <c r="H16" s="525"/>
      <c r="I16" s="654">
        <f t="shared" si="2"/>
        <v>0</v>
      </c>
      <c r="J16" s="661">
        <v>0.13</v>
      </c>
      <c r="K16" s="662">
        <f t="shared" si="6"/>
        <v>0.87</v>
      </c>
      <c r="L16" s="663">
        <f t="shared" si="7"/>
        <v>0</v>
      </c>
      <c r="M16" s="664">
        <f t="shared" si="3"/>
        <v>0</v>
      </c>
      <c r="N16" s="665">
        <f t="shared" si="4"/>
        <v>0</v>
      </c>
      <c r="O16" s="1795">
        <v>20</v>
      </c>
      <c r="P16" s="1786">
        <f t="shared" si="5"/>
        <v>20</v>
      </c>
    </row>
    <row r="17" spans="1:16" ht="21.75">
      <c r="A17" s="1783"/>
      <c r="B17" s="1793" t="s">
        <v>557</v>
      </c>
      <c r="C17" s="1794">
        <v>0</v>
      </c>
      <c r="D17" s="525"/>
      <c r="E17" s="1628">
        <f t="shared" si="0"/>
        <v>0</v>
      </c>
      <c r="F17" s="525"/>
      <c r="G17" s="1628">
        <f t="shared" si="1"/>
        <v>0</v>
      </c>
      <c r="H17" s="525"/>
      <c r="I17" s="654">
        <f t="shared" si="2"/>
        <v>0</v>
      </c>
      <c r="J17" s="661"/>
      <c r="K17" s="662">
        <f t="shared" si="6"/>
        <v>0</v>
      </c>
      <c r="L17" s="663">
        <f t="shared" si="7"/>
        <v>0</v>
      </c>
      <c r="M17" s="664">
        <f t="shared" si="3"/>
        <v>0</v>
      </c>
      <c r="N17" s="665">
        <f t="shared" si="4"/>
        <v>0</v>
      </c>
      <c r="O17" s="1795"/>
      <c r="P17" s="1786">
        <f t="shared" si="5"/>
        <v>0</v>
      </c>
    </row>
    <row r="18" spans="1:16" ht="21.75">
      <c r="A18" s="1783"/>
      <c r="B18" s="1796" t="s">
        <v>1169</v>
      </c>
      <c r="C18" s="1797">
        <v>3.5</v>
      </c>
      <c r="D18" s="1798"/>
      <c r="E18" s="1640">
        <f t="shared" si="0"/>
        <v>0</v>
      </c>
      <c r="F18" s="1799"/>
      <c r="G18" s="1640">
        <f t="shared" si="1"/>
        <v>0</v>
      </c>
      <c r="H18" s="1799"/>
      <c r="I18" s="907">
        <f t="shared" si="2"/>
        <v>0</v>
      </c>
      <c r="J18" s="1078">
        <f>'[3]Commande Souvenirs, librairie'!F166</f>
        <v>0.88</v>
      </c>
      <c r="K18" s="1080">
        <f t="shared" si="6"/>
        <v>2.62</v>
      </c>
      <c r="L18" s="902">
        <f t="shared" si="7"/>
        <v>0</v>
      </c>
      <c r="M18" s="914">
        <f t="shared" si="3"/>
        <v>0</v>
      </c>
      <c r="N18" s="665">
        <f t="shared" si="4"/>
        <v>0</v>
      </c>
      <c r="O18" s="1795">
        <v>20</v>
      </c>
      <c r="P18" s="1786">
        <f t="shared" si="5"/>
        <v>20</v>
      </c>
    </row>
    <row r="19" spans="1:14" ht="21.75">
      <c r="A19" s="1800"/>
      <c r="B19" s="1801" t="s">
        <v>618</v>
      </c>
      <c r="C19" s="1768"/>
      <c r="D19" s="946">
        <f>SUM(D5:D18)</f>
        <v>0</v>
      </c>
      <c r="E19" s="945">
        <f>SUM(E5:E18)</f>
        <v>0</v>
      </c>
      <c r="F19" s="946">
        <f>SUM(F5:F18)</f>
        <v>0</v>
      </c>
      <c r="G19" s="1769">
        <f>SUM(G5:G18)</f>
        <v>0</v>
      </c>
      <c r="H19" s="946">
        <f>SUM(H5:H18)</f>
        <v>0</v>
      </c>
      <c r="I19" s="950">
        <f>SUM(I5:I18)</f>
        <v>0</v>
      </c>
      <c r="J19" s="1802"/>
      <c r="K19" s="1771"/>
      <c r="L19" s="1803">
        <f>SUM(L5:L18)</f>
        <v>0</v>
      </c>
      <c r="M19" s="1475">
        <f>SUM(M5:M18)</f>
        <v>0</v>
      </c>
      <c r="N19" s="1476">
        <f>SUM(N5:N18)</f>
        <v>0</v>
      </c>
    </row>
    <row r="20" spans="4:8" ht="13.5">
      <c r="D20" s="10"/>
      <c r="F20" s="10"/>
      <c r="H20" s="10"/>
    </row>
    <row r="33" ht="12.75">
      <c r="E33" s="307"/>
    </row>
    <row r="34" ht="12.75">
      <c r="E34" s="1804"/>
    </row>
  </sheetData>
  <sheetProtection selectLockedCells="1" selectUnlockedCells="1"/>
  <mergeCells count="6">
    <mergeCell ref="A3:B3"/>
    <mergeCell ref="D3:E3"/>
    <mergeCell ref="F3:G3"/>
    <mergeCell ref="H3:I3"/>
    <mergeCell ref="A5:A6"/>
    <mergeCell ref="A7:A1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Carine Lamothe</cp:lastModifiedBy>
  <cp:lastPrinted>2021-06-24T08:45:22Z</cp:lastPrinted>
  <dcterms:created xsi:type="dcterms:W3CDTF">2013-02-15T08:20:37Z</dcterms:created>
  <dcterms:modified xsi:type="dcterms:W3CDTF">2021-07-20T09:57:50Z</dcterms:modified>
  <cp:category/>
  <cp:version/>
  <cp:contentType/>
  <cp:contentStatus/>
</cp:coreProperties>
</file>